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6.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Christoph\Nextcloud\1. Öffentlichkeitsarbeit und Spendenwerbung\1.5 Veröffentlichungen\1.5.8 Jahrbuch Steuergerechtigkeit\2022\Hintergrundpapiere\"/>
    </mc:Choice>
  </mc:AlternateContent>
  <bookViews>
    <workbookView xWindow="0" yWindow="0" windowWidth="23040" windowHeight="8688" tabRatio="500" activeTab="3"/>
  </bookViews>
  <sheets>
    <sheet name="Übersicht" sheetId="19" r:id="rId1"/>
    <sheet name="Apple" sheetId="1" r:id="rId2"/>
    <sheet name="Meta" sheetId="2" r:id="rId3"/>
    <sheet name="Alphabet" sheetId="3" r:id="rId4"/>
    <sheet name="Microsoft" sheetId="4" r:id="rId5"/>
    <sheet name="Amazon" sheetId="12" r:id="rId6"/>
    <sheet name="Amazons Subs 2020" sheetId="20" r:id="rId7"/>
    <sheet name="Netflix" sheetId="13" r:id="rId8"/>
    <sheet name="2021" sheetId="17" r:id="rId9"/>
    <sheet name="Tab1+8_Säule1" sheetId="5" r:id="rId10"/>
    <sheet name="Finale Forbes Liste 1" sheetId="6" r:id="rId11"/>
    <sheet name="Finale Forbes Liste 2" sheetId="7" r:id="rId12"/>
    <sheet name="Tab2_Säule 2_Sätze" sheetId="8" r:id="rId13"/>
    <sheet name="G1_Gewinnanteil" sheetId="9" r:id="rId14"/>
    <sheet name="Tab3_Mindestsätze" sheetId="10" r:id="rId15"/>
    <sheet name="Tab8_Alternativen" sheetId="11" r:id="rId16"/>
    <sheet name="USD_EUR" sheetId="14" r:id="rId17"/>
    <sheet name="Tabelle7" sheetId="15" r:id="rId18"/>
    <sheet name="Tabelle8" sheetId="16" r:id="rId19"/>
  </sheets>
  <externalReferences>
    <externalReference r:id="rId20"/>
  </externalReferences>
  <definedNames>
    <definedName name="_xlnm._FilterDatabase" localSheetId="6" hidden="1">'Amazons Subs 2020'!$A$1:$O$74</definedName>
  </definedNames>
  <calcPr calcId="152511" iterateDelta="1E-4"/>
  <extLst>
    <ext xmlns:loext="http://schemas.libreoffice.org/" uri="{7626C862-2A13-11E5-B345-FEFF819CDC9F}">
      <loext:extCalcPr stringRefSyntax="ExcelA1"/>
    </ext>
  </extLst>
</workbook>
</file>

<file path=xl/calcChain.xml><?xml version="1.0" encoding="utf-8"?>
<calcChain xmlns="http://schemas.openxmlformats.org/spreadsheetml/2006/main">
  <c r="G16" i="2" l="1"/>
  <c r="N8" i="2"/>
  <c r="N10" i="2" s="1"/>
  <c r="O5" i="2"/>
  <c r="I16" i="1"/>
  <c r="C14" i="19"/>
  <c r="C16" i="19"/>
  <c r="D14" i="19"/>
  <c r="D16" i="19"/>
  <c r="E14" i="19"/>
  <c r="E16" i="19"/>
  <c r="F16" i="19"/>
  <c r="C15" i="19"/>
  <c r="D15" i="19"/>
  <c r="F14" i="19"/>
  <c r="E15" i="19"/>
  <c r="F15" i="19"/>
  <c r="B16" i="19"/>
  <c r="B15" i="19"/>
  <c r="B14" i="19"/>
  <c r="F29" i="12" l="1"/>
  <c r="F30" i="12" s="1"/>
  <c r="G31" i="12"/>
  <c r="G28" i="12"/>
  <c r="G27" i="12"/>
  <c r="G10" i="12"/>
  <c r="G7" i="12"/>
  <c r="G9" i="12"/>
  <c r="G8" i="12"/>
  <c r="G17" i="12"/>
  <c r="F17" i="12"/>
  <c r="F31" i="12"/>
  <c r="F28" i="12"/>
  <c r="F27" i="12"/>
  <c r="F73" i="20"/>
  <c r="L70" i="20"/>
  <c r="K70" i="20"/>
  <c r="J70" i="20"/>
  <c r="I70" i="20"/>
  <c r="F70" i="20"/>
  <c r="H69" i="20"/>
  <c r="G68" i="20"/>
  <c r="M68" i="20" s="1"/>
  <c r="G67" i="20"/>
  <c r="M67" i="20" s="1"/>
  <c r="G66" i="20"/>
  <c r="H66" i="20" s="1"/>
  <c r="G65" i="20"/>
  <c r="H65" i="20" s="1"/>
  <c r="G64" i="20"/>
  <c r="M64" i="20" s="1"/>
  <c r="G63" i="20"/>
  <c r="M63" i="20" s="1"/>
  <c r="H62" i="20"/>
  <c r="H61" i="20"/>
  <c r="H60" i="20"/>
  <c r="G59" i="20"/>
  <c r="H59" i="20" s="1"/>
  <c r="G58" i="20"/>
  <c r="M58" i="20" s="1"/>
  <c r="H57" i="20"/>
  <c r="H56" i="20"/>
  <c r="H55" i="20"/>
  <c r="H54" i="20"/>
  <c r="G54" i="20"/>
  <c r="M54" i="20" s="1"/>
  <c r="H53" i="20"/>
  <c r="L51" i="20"/>
  <c r="K51" i="20"/>
  <c r="J51" i="20"/>
  <c r="I51" i="20"/>
  <c r="F51" i="20"/>
  <c r="H50" i="20"/>
  <c r="H49" i="20"/>
  <c r="H48" i="20"/>
  <c r="H47" i="20"/>
  <c r="H46" i="20"/>
  <c r="H45" i="20"/>
  <c r="H44" i="20"/>
  <c r="H43" i="20"/>
  <c r="H42" i="20"/>
  <c r="H41" i="20"/>
  <c r="H40" i="20"/>
  <c r="H39" i="20"/>
  <c r="H38" i="20"/>
  <c r="H37" i="20"/>
  <c r="H36" i="20"/>
  <c r="H35" i="20"/>
  <c r="H34" i="20"/>
  <c r="H33" i="20"/>
  <c r="H32" i="20"/>
  <c r="H31" i="20"/>
  <c r="H30" i="20"/>
  <c r="G29" i="20"/>
  <c r="M29" i="20" s="1"/>
  <c r="G28" i="20"/>
  <c r="M28" i="20" s="1"/>
  <c r="G27" i="20"/>
  <c r="M27" i="20" s="1"/>
  <c r="G26" i="20"/>
  <c r="M26" i="20" s="1"/>
  <c r="M25" i="20"/>
  <c r="H25" i="20"/>
  <c r="G25" i="20"/>
  <c r="H24" i="20"/>
  <c r="G24" i="20"/>
  <c r="M24" i="20" s="1"/>
  <c r="G23" i="20"/>
  <c r="H23" i="20" s="1"/>
  <c r="M22" i="20"/>
  <c r="H22" i="20"/>
  <c r="G22" i="20"/>
  <c r="G21" i="20"/>
  <c r="M21" i="20" s="1"/>
  <c r="G20" i="20"/>
  <c r="H20" i="20" s="1"/>
  <c r="M19" i="20"/>
  <c r="G19" i="20"/>
  <c r="H19" i="20" s="1"/>
  <c r="G18" i="20"/>
  <c r="H18" i="20" s="1"/>
  <c r="M17" i="20"/>
  <c r="H17" i="20"/>
  <c r="G17" i="20"/>
  <c r="M16" i="20"/>
  <c r="H16" i="20"/>
  <c r="G16" i="20"/>
  <c r="G15" i="20"/>
  <c r="M15" i="20" s="1"/>
  <c r="M14" i="20"/>
  <c r="H14" i="20"/>
  <c r="G14" i="20"/>
  <c r="G13" i="20"/>
  <c r="M13" i="20" s="1"/>
  <c r="G12" i="20"/>
  <c r="H12" i="20" s="1"/>
  <c r="M11" i="20"/>
  <c r="G11" i="20"/>
  <c r="H11" i="20" s="1"/>
  <c r="G10" i="20"/>
  <c r="H10" i="20" s="1"/>
  <c r="M9" i="20"/>
  <c r="H9" i="20"/>
  <c r="G9" i="20"/>
  <c r="M8" i="20"/>
  <c r="H8" i="20"/>
  <c r="G8" i="20"/>
  <c r="G7" i="20"/>
  <c r="M7" i="20" s="1"/>
  <c r="M6" i="20"/>
  <c r="H6" i="20"/>
  <c r="G6" i="20"/>
  <c r="G5" i="20"/>
  <c r="M5" i="20" s="1"/>
  <c r="G4" i="20"/>
  <c r="M4" i="20" s="1"/>
  <c r="M3" i="20"/>
  <c r="G3" i="20"/>
  <c r="H3" i="20" s="1"/>
  <c r="L2" i="20"/>
  <c r="K2" i="20"/>
  <c r="J2" i="20"/>
  <c r="I2" i="20"/>
  <c r="F2" i="20"/>
  <c r="F13" i="19"/>
  <c r="E13" i="19"/>
  <c r="D13" i="19"/>
  <c r="C13" i="19"/>
  <c r="B13" i="19"/>
  <c r="G13" i="19" l="1"/>
  <c r="G29" i="12"/>
  <c r="G30" i="12" s="1"/>
  <c r="H68" i="20"/>
  <c r="M70" i="20"/>
  <c r="J73" i="20" s="1"/>
  <c r="J74" i="20" s="1"/>
  <c r="J71" i="20"/>
  <c r="J72" i="20" s="1"/>
  <c r="H4" i="20"/>
  <c r="M20" i="20"/>
  <c r="H26" i="20"/>
  <c r="H58" i="20"/>
  <c r="H63" i="20"/>
  <c r="H5" i="20"/>
  <c r="H2" i="20" s="1"/>
  <c r="M10" i="20"/>
  <c r="M51" i="20" s="1"/>
  <c r="H13" i="20"/>
  <c r="M18" i="20"/>
  <c r="H21" i="20"/>
  <c r="H29" i="20"/>
  <c r="G51" i="20"/>
  <c r="M66" i="20"/>
  <c r="H28" i="20"/>
  <c r="H7" i="20"/>
  <c r="M12" i="20"/>
  <c r="H15" i="20"/>
  <c r="M23" i="20"/>
  <c r="G70" i="20"/>
  <c r="G2" i="20"/>
  <c r="H27" i="20"/>
  <c r="H64" i="20"/>
  <c r="H67" i="20"/>
  <c r="H51" i="20" l="1"/>
  <c r="M2" i="20"/>
  <c r="G31" i="4" l="1"/>
  <c r="G28" i="4"/>
  <c r="G29" i="4"/>
  <c r="G27" i="4"/>
  <c r="F45" i="4"/>
  <c r="F38" i="4"/>
  <c r="F36" i="4"/>
  <c r="F37" i="4"/>
  <c r="F39" i="4"/>
  <c r="F42" i="4"/>
  <c r="F43" i="4"/>
  <c r="F44" i="4"/>
  <c r="F46" i="4"/>
  <c r="F35" i="4"/>
  <c r="C38" i="4"/>
  <c r="D38" i="4"/>
  <c r="E38" i="4"/>
  <c r="C45" i="4"/>
  <c r="D45" i="4"/>
  <c r="E45" i="4"/>
  <c r="B36" i="4"/>
  <c r="B38" i="4" s="1"/>
  <c r="B43" i="4"/>
  <c r="B45" i="4" s="1"/>
  <c r="E43" i="4"/>
  <c r="E36" i="4"/>
  <c r="D43" i="4"/>
  <c r="D36" i="4"/>
  <c r="C43" i="4"/>
  <c r="C36" i="4"/>
  <c r="G10" i="4"/>
  <c r="G9" i="4"/>
  <c r="G8" i="4"/>
  <c r="G7" i="4" s="1"/>
  <c r="G30" i="3"/>
  <c r="G32" i="3"/>
  <c r="G31" i="3"/>
  <c r="G28" i="3"/>
  <c r="G29" i="3"/>
  <c r="G27" i="3"/>
  <c r="F30" i="3"/>
  <c r="F28" i="3"/>
  <c r="G10" i="3"/>
  <c r="G7" i="3"/>
  <c r="G31" i="2" l="1"/>
  <c r="F30" i="2"/>
  <c r="G28" i="2"/>
  <c r="G29" i="2"/>
  <c r="G30" i="2" s="1"/>
  <c r="G27" i="2"/>
  <c r="P10" i="2"/>
  <c r="P11" i="2" s="1"/>
  <c r="G17" i="2" s="1"/>
  <c r="O7" i="2"/>
  <c r="O4" i="2"/>
  <c r="O3" i="2"/>
  <c r="G10" i="2"/>
  <c r="G9" i="2"/>
  <c r="G8" i="2"/>
  <c r="G7" i="2" s="1"/>
  <c r="G29" i="1"/>
  <c r="G28" i="1"/>
  <c r="G27" i="1"/>
  <c r="G24" i="1"/>
  <c r="G31" i="1"/>
  <c r="G37" i="1" s="1"/>
  <c r="G30" i="1"/>
  <c r="F28" i="1"/>
  <c r="F11" i="19"/>
  <c r="B4" i="19"/>
  <c r="H14" i="19"/>
  <c r="H13" i="19"/>
  <c r="C3" i="19"/>
  <c r="C2" i="19"/>
  <c r="D3" i="19"/>
  <c r="H16" i="19"/>
  <c r="D11" i="19"/>
  <c r="F4" i="19"/>
  <c r="E3" i="19"/>
  <c r="F3" i="19"/>
  <c r="D2" i="19"/>
  <c r="H4" i="19"/>
  <c r="E6" i="19"/>
  <c r="H2" i="19"/>
  <c r="D6" i="19"/>
  <c r="C5" i="19"/>
  <c r="B11" i="19"/>
  <c r="F2" i="19"/>
  <c r="H7" i="19"/>
  <c r="B2" i="19"/>
  <c r="B5" i="19"/>
  <c r="H11" i="19"/>
  <c r="E7" i="19"/>
  <c r="D5" i="19"/>
  <c r="H3" i="19"/>
  <c r="E2" i="19"/>
  <c r="E4" i="19"/>
  <c r="F6" i="19"/>
  <c r="B3" i="19"/>
  <c r="H6" i="19"/>
  <c r="E5" i="19"/>
  <c r="C4" i="19"/>
  <c r="D4" i="19"/>
  <c r="C6" i="19"/>
  <c r="C11" i="19"/>
  <c r="E11" i="19"/>
  <c r="B7" i="19"/>
  <c r="C7" i="19"/>
  <c r="F5" i="19"/>
  <c r="H5" i="19"/>
  <c r="F7" i="19"/>
  <c r="D7" i="19"/>
  <c r="H15" i="19"/>
  <c r="G3" i="19" l="1"/>
  <c r="G4" i="19"/>
  <c r="G5" i="19"/>
  <c r="G7" i="19"/>
  <c r="G11" i="19"/>
  <c r="G14" i="19"/>
  <c r="G15" i="19"/>
  <c r="G2" i="19"/>
  <c r="D17" i="19"/>
  <c r="C17" i="19"/>
  <c r="H17" i="19"/>
  <c r="F17" i="19"/>
  <c r="E17" i="19"/>
  <c r="E12" i="19"/>
  <c r="F9" i="19"/>
  <c r="C8" i="19"/>
  <c r="C12" i="19"/>
  <c r="H10" i="19"/>
  <c r="D9" i="19"/>
  <c r="F10" i="19"/>
  <c r="C9" i="19"/>
  <c r="D12" i="19"/>
  <c r="E10" i="19"/>
  <c r="H8" i="19"/>
  <c r="E9" i="19"/>
  <c r="D10" i="19"/>
  <c r="F8" i="19"/>
  <c r="H12" i="19"/>
  <c r="C10" i="19"/>
  <c r="E8" i="19"/>
  <c r="F12" i="19"/>
  <c r="H9" i="19"/>
  <c r="D8" i="19"/>
  <c r="B12" i="19"/>
  <c r="B10" i="19"/>
  <c r="B8" i="19"/>
  <c r="F20" i="19"/>
  <c r="C19" i="19"/>
  <c r="C18" i="19"/>
  <c r="E19" i="19"/>
  <c r="D20" i="19"/>
  <c r="C20" i="19"/>
  <c r="F18" i="19"/>
  <c r="E18" i="19"/>
  <c r="D19" i="19"/>
  <c r="F19" i="19"/>
  <c r="D18" i="19"/>
  <c r="E20" i="19"/>
  <c r="B20" i="19"/>
  <c r="B19" i="19"/>
  <c r="B18" i="19"/>
  <c r="H18" i="19"/>
  <c r="G10" i="19" l="1"/>
  <c r="G8" i="19"/>
  <c r="G12" i="19"/>
  <c r="E22" i="19"/>
  <c r="D22" i="19"/>
  <c r="F22" i="19"/>
  <c r="F21" i="19"/>
  <c r="E21" i="19"/>
  <c r="C21" i="19"/>
  <c r="D21" i="19"/>
  <c r="H20" i="19"/>
  <c r="H19" i="19"/>
  <c r="C22" i="19" l="1"/>
  <c r="H21" i="19"/>
  <c r="E31" i="5" l="1"/>
  <c r="D31" i="5"/>
  <c r="C31" i="5"/>
  <c r="B31" i="5"/>
  <c r="E30" i="5"/>
  <c r="D30" i="5"/>
  <c r="C30" i="5"/>
  <c r="B30" i="5"/>
  <c r="G4" i="1"/>
  <c r="G9" i="1"/>
  <c r="G8" i="1"/>
  <c r="G7" i="1"/>
  <c r="B6" i="19"/>
  <c r="G6" i="19" l="1"/>
  <c r="B9" i="19"/>
  <c r="G9" i="19" s="1"/>
  <c r="D30" i="3" l="1"/>
  <c r="E30" i="3"/>
  <c r="G16" i="1" l="1"/>
  <c r="G17" i="1" s="1"/>
  <c r="G18" i="19" l="1"/>
  <c r="G38" i="1"/>
  <c r="N5" i="2"/>
  <c r="N7" i="2" s="1"/>
  <c r="N15" i="17"/>
  <c r="L15" i="17"/>
  <c r="K15" i="17"/>
  <c r="K16" i="17" s="1"/>
  <c r="J15" i="17"/>
  <c r="I15" i="17"/>
  <c r="N14" i="17"/>
  <c r="L14" i="17"/>
  <c r="K14" i="17"/>
  <c r="J14" i="17"/>
  <c r="I14" i="17"/>
  <c r="N13" i="17"/>
  <c r="L13" i="17"/>
  <c r="K13" i="17"/>
  <c r="J13" i="17"/>
  <c r="I13" i="17"/>
  <c r="K8" i="17"/>
  <c r="J8" i="17"/>
  <c r="I8" i="17"/>
  <c r="F24" i="13"/>
  <c r="E24" i="13"/>
  <c r="E29" i="13"/>
  <c r="D29" i="13"/>
  <c r="C29" i="13"/>
  <c r="F10" i="13"/>
  <c r="E10" i="13"/>
  <c r="D10" i="13"/>
  <c r="C10" i="13"/>
  <c r="B10" i="13"/>
  <c r="F9" i="13"/>
  <c r="E9" i="13"/>
  <c r="D9" i="13"/>
  <c r="C9" i="13"/>
  <c r="B9" i="13"/>
  <c r="F8" i="13"/>
  <c r="E8" i="13"/>
  <c r="D8" i="13"/>
  <c r="C8" i="13"/>
  <c r="B8" i="13"/>
  <c r="C3" i="13"/>
  <c r="B3" i="13"/>
  <c r="F17" i="13"/>
  <c r="E16" i="13"/>
  <c r="J23" i="13"/>
  <c r="J20" i="13"/>
  <c r="C10" i="12"/>
  <c r="B10" i="12"/>
  <c r="C7" i="12"/>
  <c r="B7" i="12"/>
  <c r="G6" i="10"/>
  <c r="C5" i="10"/>
  <c r="B5" i="10"/>
  <c r="G4" i="10"/>
  <c r="G3" i="10"/>
  <c r="F15" i="8"/>
  <c r="E15" i="8"/>
  <c r="D15" i="8"/>
  <c r="C15" i="8"/>
  <c r="B15" i="8"/>
  <c r="F10" i="8"/>
  <c r="E10" i="8"/>
  <c r="D10" i="8"/>
  <c r="C10" i="8"/>
  <c r="B10" i="8"/>
  <c r="F5" i="8"/>
  <c r="E5" i="8"/>
  <c r="D5" i="8"/>
  <c r="C5" i="8"/>
  <c r="B5" i="8"/>
  <c r="E255" i="7"/>
  <c r="D255" i="7"/>
  <c r="E151" i="7"/>
  <c r="D151" i="7"/>
  <c r="E74" i="7"/>
  <c r="D74" i="7"/>
  <c r="B116" i="6"/>
  <c r="B109" i="6"/>
  <c r="B110" i="6" s="1"/>
  <c r="B111" i="6" s="1"/>
  <c r="E102" i="6"/>
  <c r="D102" i="6"/>
  <c r="F25" i="5"/>
  <c r="F10" i="5"/>
  <c r="F9" i="5"/>
  <c r="D8" i="5"/>
  <c r="C8" i="5"/>
  <c r="B8" i="5"/>
  <c r="N6" i="5"/>
  <c r="N5" i="5"/>
  <c r="M5" i="5"/>
  <c r="M6" i="5" s="1"/>
  <c r="Q5" i="5" s="1"/>
  <c r="L5" i="5"/>
  <c r="L6" i="5" s="1"/>
  <c r="L7" i="5" s="1"/>
  <c r="L11" i="5" s="1"/>
  <c r="Q4" i="5"/>
  <c r="N4" i="5"/>
  <c r="M4" i="5"/>
  <c r="L4" i="5"/>
  <c r="K4" i="5"/>
  <c r="K5" i="5" s="1"/>
  <c r="K6" i="5" s="1"/>
  <c r="K7" i="5" s="1"/>
  <c r="K11" i="5" s="1"/>
  <c r="J4" i="5"/>
  <c r="J5" i="5" s="1"/>
  <c r="J6" i="5" s="1"/>
  <c r="J7" i="5" s="1"/>
  <c r="J11" i="5" s="1"/>
  <c r="I4" i="5"/>
  <c r="I5" i="5" s="1"/>
  <c r="I6" i="5" s="1"/>
  <c r="I7" i="5" s="1"/>
  <c r="I11" i="5" s="1"/>
  <c r="P12" i="5" s="1"/>
  <c r="H4" i="5"/>
  <c r="H5" i="5" s="1"/>
  <c r="H6" i="5" s="1"/>
  <c r="H7" i="5" s="1"/>
  <c r="H11" i="5" s="1"/>
  <c r="G4" i="5"/>
  <c r="G5" i="5" s="1"/>
  <c r="G6" i="5" s="1"/>
  <c r="G7" i="5" s="1"/>
  <c r="G11" i="5" s="1"/>
  <c r="P13" i="5" s="1"/>
  <c r="E21" i="4"/>
  <c r="D21" i="4"/>
  <c r="C21" i="4"/>
  <c r="D30" i="4"/>
  <c r="C30" i="4"/>
  <c r="B30" i="4"/>
  <c r="B6" i="8"/>
  <c r="E3" i="5"/>
  <c r="E20" i="5" s="1"/>
  <c r="F4" i="9"/>
  <c r="E4" i="9"/>
  <c r="D4" i="9"/>
  <c r="C4" i="9"/>
  <c r="B4" i="9"/>
  <c r="D3" i="5"/>
  <c r="D20" i="5" s="1"/>
  <c r="D5" i="10"/>
  <c r="D2" i="5"/>
  <c r="D19" i="5" s="1"/>
  <c r="D24" i="2"/>
  <c r="C24" i="2"/>
  <c r="E30" i="2"/>
  <c r="D30" i="2"/>
  <c r="C30" i="2"/>
  <c r="B30" i="2"/>
  <c r="C3" i="5"/>
  <c r="C20" i="5" s="1"/>
  <c r="F4" i="10"/>
  <c r="C2" i="5"/>
  <c r="C19" i="5" s="1"/>
  <c r="F21" i="1"/>
  <c r="E21" i="1"/>
  <c r="E30" i="1"/>
  <c r="D30" i="1"/>
  <c r="C30" i="1"/>
  <c r="B30" i="1"/>
  <c r="B3" i="5"/>
  <c r="B20" i="5" s="1"/>
  <c r="F3" i="10"/>
  <c r="B2" i="5"/>
  <c r="B19" i="5" s="1"/>
  <c r="G19" i="19" l="1"/>
  <c r="G20" i="19"/>
  <c r="F24" i="1"/>
  <c r="E17" i="13"/>
  <c r="D16" i="13"/>
  <c r="E7" i="13"/>
  <c r="C7" i="13"/>
  <c r="F7" i="13"/>
  <c r="D16" i="8"/>
  <c r="B5" i="9"/>
  <c r="E6" i="8"/>
  <c r="D5" i="9"/>
  <c r="C16" i="8"/>
  <c r="L16" i="17"/>
  <c r="J16" i="17"/>
  <c r="D3" i="8"/>
  <c r="E5" i="9"/>
  <c r="F6" i="8"/>
  <c r="B11" i="8"/>
  <c r="E2" i="5"/>
  <c r="E19" i="5" s="1"/>
  <c r="B16" i="8"/>
  <c r="C11" i="8"/>
  <c r="E11" i="8"/>
  <c r="F11" i="8"/>
  <c r="D6" i="8"/>
  <c r="C9" i="8"/>
  <c r="O8" i="2"/>
  <c r="O10" i="2" s="1"/>
  <c r="L8" i="2"/>
  <c r="L7" i="2" s="1"/>
  <c r="M8" i="2"/>
  <c r="M7" i="2" s="1"/>
  <c r="K8" i="2"/>
  <c r="K7" i="2" s="1"/>
  <c r="B14" i="8"/>
  <c r="E8" i="5"/>
  <c r="F8" i="5" s="1"/>
  <c r="F3" i="9"/>
  <c r="E9" i="8"/>
  <c r="D4" i="8"/>
  <c r="C4" i="10"/>
  <c r="F4" i="8"/>
  <c r="D3" i="9"/>
  <c r="E3" i="9"/>
  <c r="E14" i="8"/>
  <c r="F9" i="8"/>
  <c r="C4" i="8"/>
  <c r="C3" i="9"/>
  <c r="B9" i="8"/>
  <c r="B3" i="9"/>
  <c r="B4" i="8"/>
  <c r="D9" i="8"/>
  <c r="F31" i="5"/>
  <c r="E24" i="1"/>
  <c r="E8" i="8"/>
  <c r="E2" i="9"/>
  <c r="B3" i="10"/>
  <c r="C2" i="9"/>
  <c r="F8" i="8"/>
  <c r="D3" i="10"/>
  <c r="B2" i="9"/>
  <c r="C13" i="8"/>
  <c r="D8" i="8"/>
  <c r="F3" i="8"/>
  <c r="D2" i="9"/>
  <c r="D13" i="8"/>
  <c r="B8" i="8"/>
  <c r="C8" i="8"/>
  <c r="C7" i="8" s="1"/>
  <c r="P14" i="5"/>
  <c r="F28" i="13"/>
  <c r="C14" i="8"/>
  <c r="C3" i="8"/>
  <c r="D14" i="8"/>
  <c r="F3" i="5"/>
  <c r="F20" i="5" s="1"/>
  <c r="B14" i="5"/>
  <c r="B29" i="5" s="1"/>
  <c r="E13" i="8"/>
  <c r="D30" i="13"/>
  <c r="F2" i="5"/>
  <c r="F19" i="5" s="1"/>
  <c r="B13" i="8"/>
  <c r="B12" i="8" s="1"/>
  <c r="B3" i="8"/>
  <c r="E4" i="8"/>
  <c r="B4" i="5"/>
  <c r="C14" i="5"/>
  <c r="C29" i="5" s="1"/>
  <c r="C21" i="5"/>
  <c r="C5" i="9"/>
  <c r="C6" i="8"/>
  <c r="C4" i="5"/>
  <c r="C5" i="5" s="1"/>
  <c r="C22" i="5" s="1"/>
  <c r="N7" i="5"/>
  <c r="N11" i="5" s="1"/>
  <c r="P16" i="5"/>
  <c r="P17" i="5" s="1"/>
  <c r="E16" i="8"/>
  <c r="B7" i="13"/>
  <c r="D14" i="5"/>
  <c r="D29" i="5" s="1"/>
  <c r="D21" i="5"/>
  <c r="D4" i="5"/>
  <c r="D5" i="5" s="1"/>
  <c r="D22" i="5" s="1"/>
  <c r="D7" i="13"/>
  <c r="E30" i="13"/>
  <c r="F30" i="13" s="1"/>
  <c r="E3" i="8"/>
  <c r="D11" i="8"/>
  <c r="E32" i="5"/>
  <c r="F6" i="10"/>
  <c r="F7" i="10" s="1"/>
  <c r="G16" i="19" l="1"/>
  <c r="B22" i="19"/>
  <c r="G22" i="19" s="1"/>
  <c r="B17" i="19"/>
  <c r="G17" i="19" s="1"/>
  <c r="B21" i="19"/>
  <c r="G21" i="19" s="1"/>
  <c r="C16" i="13"/>
  <c r="C17" i="13" s="1"/>
  <c r="D17" i="13"/>
  <c r="C6" i="13"/>
  <c r="F29" i="13"/>
  <c r="E21" i="5"/>
  <c r="E4" i="5"/>
  <c r="E5" i="5" s="1"/>
  <c r="D2" i="8"/>
  <c r="E14" i="5"/>
  <c r="E29" i="5" s="1"/>
  <c r="F14" i="8"/>
  <c r="E7" i="8"/>
  <c r="B6" i="9"/>
  <c r="F2" i="8"/>
  <c r="F7" i="8"/>
  <c r="B4" i="10"/>
  <c r="E6" i="9"/>
  <c r="C6" i="9"/>
  <c r="D6" i="9"/>
  <c r="B7" i="8"/>
  <c r="E12" i="8"/>
  <c r="B2" i="8"/>
  <c r="C12" i="8"/>
  <c r="F2" i="9"/>
  <c r="D7" i="8"/>
  <c r="D12" i="8"/>
  <c r="B21" i="5"/>
  <c r="F21" i="5" s="1"/>
  <c r="E3" i="10"/>
  <c r="B6" i="10"/>
  <c r="F5" i="9"/>
  <c r="C2" i="8"/>
  <c r="B5" i="5"/>
  <c r="B22" i="5" s="1"/>
  <c r="F4" i="5"/>
  <c r="B6" i="13"/>
  <c r="C13" i="5"/>
  <c r="C28" i="5" s="1"/>
  <c r="C6" i="5"/>
  <c r="C23" i="5" s="1"/>
  <c r="C12" i="5"/>
  <c r="C27" i="5" s="1"/>
  <c r="C6" i="10"/>
  <c r="F16" i="8"/>
  <c r="D6" i="5"/>
  <c r="D23" i="5" s="1"/>
  <c r="D12" i="5"/>
  <c r="D27" i="5" s="1"/>
  <c r="D13" i="5"/>
  <c r="D28" i="5" s="1"/>
  <c r="C3" i="10"/>
  <c r="F13" i="8"/>
  <c r="E2" i="8"/>
  <c r="B16" i="13" l="1"/>
  <c r="B17" i="13" s="1"/>
  <c r="E6" i="5"/>
  <c r="E23" i="5" s="1"/>
  <c r="E22" i="5"/>
  <c r="E13" i="5"/>
  <c r="E28" i="5" s="1"/>
  <c r="E12" i="5"/>
  <c r="E27" i="5" s="1"/>
  <c r="F6" i="9"/>
  <c r="F14" i="5"/>
  <c r="F29" i="5" s="1"/>
  <c r="B32" i="5"/>
  <c r="F12" i="8"/>
  <c r="C7" i="5"/>
  <c r="C24" i="5" s="1"/>
  <c r="E7" i="5"/>
  <c r="E24" i="5" s="1"/>
  <c r="D32" i="5"/>
  <c r="B13" i="5"/>
  <c r="B28" i="5" s="1"/>
  <c r="B6" i="5"/>
  <c r="B23" i="5" s="1"/>
  <c r="F22" i="5"/>
  <c r="F5" i="5"/>
  <c r="B12" i="5"/>
  <c r="B27" i="5" s="1"/>
  <c r="C32" i="5"/>
  <c r="D7" i="5"/>
  <c r="D24" i="5" s="1"/>
  <c r="C11" i="5" l="1"/>
  <c r="C26" i="5" s="1"/>
  <c r="F12" i="5"/>
  <c r="F27" i="5" s="1"/>
  <c r="D11" i="5"/>
  <c r="D26" i="5" s="1"/>
  <c r="F30" i="5"/>
  <c r="F32" i="5" s="1"/>
  <c r="F13" i="5"/>
  <c r="F28" i="5" s="1"/>
  <c r="E11" i="5"/>
  <c r="E26" i="5" s="1"/>
  <c r="F23" i="5"/>
  <c r="F6" i="5"/>
  <c r="B7" i="5"/>
  <c r="B24" i="5" s="1"/>
  <c r="F7" i="5" l="1"/>
  <c r="F24" i="5" s="1"/>
  <c r="B11" i="5"/>
  <c r="B26" i="5" s="1"/>
  <c r="F26" i="5" l="1"/>
  <c r="F11" i="5"/>
</calcChain>
</file>

<file path=xl/comments1.xml><?xml version="1.0" encoding="utf-8"?>
<comments xmlns="http://schemas.openxmlformats.org/spreadsheetml/2006/main">
  <authors>
    <author>Christoph</author>
    <author/>
  </authors>
  <commentList>
    <comment ref="F17" authorId="0" shapeId="0">
      <text>
        <r>
          <rPr>
            <b/>
            <sz val="9"/>
            <color indexed="81"/>
            <rFont val="Segoe UI"/>
            <charset val="1"/>
          </rPr>
          <t>Christoph:</t>
        </r>
        <r>
          <rPr>
            <sz val="9"/>
            <color indexed="81"/>
            <rFont val="Segoe UI"/>
            <charset val="1"/>
          </rPr>
          <t xml:space="preserve">
Basierend auf Facebook-Nutzerzahlen und Pro-Kopf Umsätzen</t>
        </r>
      </text>
    </comment>
    <comment ref="C18" authorId="1" shapeId="0">
      <text>
        <r>
          <rPr>
            <sz val="11"/>
            <color rgb="FF000000"/>
            <rFont val="Calibri"/>
            <family val="2"/>
          </rPr>
          <t xml:space="preserve">Christoph Trautvetter:
</t>
        </r>
        <r>
          <rPr>
            <sz val="9"/>
            <color rgb="FF000000"/>
            <rFont val="Tahoma"/>
            <family val="2"/>
            <charset val="1"/>
          </rPr>
          <t>Quelle: https://www.taxwatchuk.org/reports/netflix_tax_avoidance/</t>
        </r>
      </text>
    </comment>
    <comment ref="D18" authorId="1" shapeId="0">
      <text>
        <r>
          <rPr>
            <sz val="11"/>
            <color rgb="FF000000"/>
            <rFont val="Calibri"/>
            <family val="2"/>
          </rPr>
          <t xml:space="preserve">Christoph Trautvetter:
</t>
        </r>
        <r>
          <rPr>
            <sz val="9"/>
            <color rgb="FF000000"/>
            <rFont val="Tahoma"/>
            <family val="2"/>
            <charset val="1"/>
          </rPr>
          <t>Quelle: https://www.taxwatchuk.org/reports/netflix_tax_avoidance/</t>
        </r>
      </text>
    </comment>
  </commentList>
</comments>
</file>

<file path=xl/comments2.xml><?xml version="1.0" encoding="utf-8"?>
<comments xmlns="http://schemas.openxmlformats.org/spreadsheetml/2006/main">
  <authors>
    <author/>
    <author>Christoph</author>
  </authors>
  <commentList>
    <comment ref="D14" authorId="0" shapeId="0">
      <text>
        <r>
          <rPr>
            <sz val="11"/>
            <color rgb="FF000000"/>
            <rFont val="Calibri"/>
            <family val="2"/>
          </rPr>
          <t xml:space="preserve">Christoph Trautvetter:
</t>
        </r>
        <r>
          <rPr>
            <sz val="9"/>
            <color rgb="FF000000"/>
            <rFont val="Tahoma"/>
            <family val="2"/>
            <charset val="1"/>
          </rPr>
          <t>zum 31.12.2018</t>
        </r>
      </text>
    </comment>
    <comment ref="F26" authorId="1" shapeId="0">
      <text>
        <r>
          <rPr>
            <b/>
            <sz val="9"/>
            <color indexed="81"/>
            <rFont val="Segoe UI"/>
            <family val="2"/>
          </rPr>
          <t>Christoph:</t>
        </r>
        <r>
          <rPr>
            <sz val="9"/>
            <color indexed="81"/>
            <rFont val="Segoe UI"/>
            <family val="2"/>
          </rPr>
          <t xml:space="preserve">
Extrapoliert von 2019 basierend auf globalen Kennzahlen von 2020
</t>
        </r>
      </text>
    </comment>
    <comment ref="K28" authorId="0" shapeId="0">
      <text>
        <r>
          <rPr>
            <sz val="11"/>
            <color rgb="FF000000"/>
            <rFont val="Calibri"/>
            <family val="2"/>
          </rPr>
          <t xml:space="preserve">Christoph Trautvetter:
</t>
        </r>
        <r>
          <rPr>
            <sz val="9"/>
            <color rgb="FF000000"/>
            <rFont val="Tahoma"/>
            <family val="2"/>
            <charset val="1"/>
          </rPr>
          <t>zum 31.12.2018</t>
        </r>
      </text>
    </comment>
  </commentList>
</comments>
</file>

<file path=xl/comments3.xml><?xml version="1.0" encoding="utf-8"?>
<comments xmlns="http://schemas.openxmlformats.org/spreadsheetml/2006/main">
  <authors>
    <author/>
  </authors>
  <commentList>
    <comment ref="F14" authorId="0" shapeId="0">
      <text>
        <r>
          <rPr>
            <sz val="11"/>
            <color rgb="FF000000"/>
            <rFont val="Calibri"/>
            <family val="2"/>
          </rPr>
          <t xml:space="preserve">Christoph Trautvetter:
</t>
        </r>
        <r>
          <rPr>
            <sz val="9"/>
            <color rgb="FF000000"/>
            <rFont val="Tahoma"/>
            <family val="2"/>
            <charset val="1"/>
          </rPr>
          <t>7.600= 81% in USA, 1.000= 11% in Kanada, 200 = 2% in EMEA</t>
        </r>
      </text>
    </comment>
    <comment ref="F16" authorId="0" shapeId="0">
      <text>
        <r>
          <rPr>
            <sz val="11"/>
            <color rgb="FF000000"/>
            <rFont val="Calibri"/>
            <family val="2"/>
          </rPr>
          <t xml:space="preserve">Christoph Trautvetter:
</t>
        </r>
        <r>
          <rPr>
            <sz val="9"/>
            <color rgb="FF000000"/>
            <rFont val="Tahoma"/>
            <family val="2"/>
            <charset val="1"/>
          </rPr>
          <t xml:space="preserve">• https://www.kantar.com/campaigns/svod-market-share (Neukunden für das Quartal 1 + 2/2021 nach Anbieter, davon Netflix: 24,4% und 20,2%)
• https://www.tagesschau.de/wirtschaft/unternehmen/netflix-streaming-nutzer-quartalsbericht-101.html (Umfrage Marktforschungsinstitut GfK April/Mai 2020: mindestens ein monatliches Streaming-Abo bei 54% der Gesamtbevölkerung, 49% in 2019, 41% in 2018)
• https://www.kino.de/unternehmen/netflix/news/streamingdienste-in-deutschland-ist-netflix-amazon-oder-disney-plus-am-erfolgreichsten/ (Just Watch, Streamingdauer für Januar, Februar und März 2021 nach Anbieter, Marktanteil Netflix: 32%)
• https://www.mckinsey.de/news/presse/video-streaming-jeder-zweite-deutsche-haushalt-nutzt-netflix-amazon-prime (Umfrage YouGov, Januar bis April 2019: 27% mit einem Streaming-Dienst, 16% zwei, 10% drei, Netflix mit Marktanteil von 28%)
• https://de.statista.com/statistik/daten/studie/327991/umfrage/prognose-zur-anzahl-der-netflix-abonnenten-weltweit/ (Digital TV Research Prognose für 2020: 11,33 Millionen Abonennten in Deutschland)
</t>
        </r>
      </text>
    </comment>
    <comment ref="D18" authorId="0" shapeId="0">
      <text>
        <r>
          <rPr>
            <sz val="11"/>
            <color rgb="FF000000"/>
            <rFont val="Calibri"/>
            <family val="2"/>
          </rPr>
          <t xml:space="preserve">Christoph Trautvetter:
</t>
        </r>
        <r>
          <rPr>
            <sz val="9"/>
            <color rgb="FF000000"/>
            <rFont val="Tahoma"/>
            <family val="2"/>
            <charset val="1"/>
          </rPr>
          <t>Quelle: https://www.taxwatchuk.org/reports/netflix_tax_avoidance/</t>
        </r>
      </text>
    </comment>
  </commentList>
</comments>
</file>

<file path=xl/sharedStrings.xml><?xml version="1.0" encoding="utf-8"?>
<sst xmlns="http://schemas.openxmlformats.org/spreadsheetml/2006/main" count="1608" uniqueCount="484">
  <si>
    <t>2016</t>
  </si>
  <si>
    <t>2017</t>
  </si>
  <si>
    <t>2018</t>
  </si>
  <si>
    <t>2019</t>
  </si>
  <si>
    <t>2020</t>
  </si>
  <si>
    <t>Umsatz</t>
  </si>
  <si>
    <t>Umsatz_EMEA</t>
  </si>
  <si>
    <t>Umsatz pro Mitglied/Monat</t>
  </si>
  <si>
    <t>Umsatz Deutschland (geschätzt)</t>
  </si>
  <si>
    <t>Umsatzanteil Deutschland (geschätzt)</t>
  </si>
  <si>
    <t>Gewinn (vor Steuern)</t>
  </si>
  <si>
    <t>davon USA</t>
  </si>
  <si>
    <t>davon Ausland</t>
  </si>
  <si>
    <t>Steuern</t>
  </si>
  <si>
    <t>current</t>
  </si>
  <si>
    <t>deferred</t>
  </si>
  <si>
    <t>Steuersatz</t>
  </si>
  <si>
    <t>Mitarbeiter Deutschland</t>
  </si>
  <si>
    <t>Deutschland (€)</t>
  </si>
  <si>
    <t xml:space="preserve">Gewinn 
(vor Steuern) </t>
  </si>
  <si>
    <t>Steuern (geschätzt)</t>
  </si>
  <si>
    <t>Steuersatz 
(Steuern/Gewinn)</t>
  </si>
  <si>
    <t>Mitarbeiter</t>
  </si>
  <si>
    <t xml:space="preserve">Gewinn </t>
  </si>
  <si>
    <t>Global US$</t>
  </si>
  <si>
    <t>Abonennten weltweit (Jahresende)</t>
  </si>
  <si>
    <t>Abonennten EMEA</t>
  </si>
  <si>
    <t>Abonennten Deutschland</t>
  </si>
  <si>
    <t>Total average revenue per user per 
Year in Europe</t>
  </si>
  <si>
    <t>Total average revenue per user per 
Year in US&amp;Canada</t>
  </si>
  <si>
    <t>Total average revenue per user per 
Year in Germany [estimated]</t>
  </si>
  <si>
    <t>Number of FB users in Germany (average)</t>
  </si>
  <si>
    <t>Mitarbeiter weltweit</t>
  </si>
  <si>
    <t>Achtung: Multipliziert mit dt Unternehmenssteuersatz 0,3 fehlte in dieser Zeile. Habe ihn hinzugefügt.</t>
  </si>
  <si>
    <t>Umsatz EMEA</t>
  </si>
  <si>
    <t>Deutscher Anteil an den Mitarbeitern</t>
  </si>
  <si>
    <t>Deutscher Anteil am Gewinn</t>
  </si>
  <si>
    <t>Spalte1</t>
  </si>
  <si>
    <t>U.S. federal statutory tax rate</t>
  </si>
  <si>
    <t>21.0 </t>
  </si>
  <si>
    <t>State and local income taxes</t>
  </si>
  <si>
    <t>(0.4)</t>
  </si>
  <si>
    <t>1.1 </t>
  </si>
  <si>
    <t>Federal research credit</t>
  </si>
  <si>
    <t>(2.4)</t>
  </si>
  <si>
    <t>(2.5)</t>
  </si>
  <si>
    <t>(2.3)</t>
  </si>
  <si>
    <t>Stock-based compensation expense</t>
  </si>
  <si>
    <t>(2.2)</t>
  </si>
  <si>
    <t>(0.7)</t>
  </si>
  <si>
    <t>(1.7)</t>
  </si>
  <si>
    <t>Foreign income taxed at different rates</t>
  </si>
  <si>
    <t>(4.4)</t>
  </si>
  <si>
    <t>(4.9)</t>
  </si>
  <si>
    <t>(0.3)</t>
  </si>
  <si>
    <t>Impact of the Tax Cuts and Jobs Act</t>
  </si>
  <si>
    <t>(1.3)</t>
  </si>
  <si>
    <t>(0.6)</t>
  </si>
  <si>
    <t>0.0 </t>
  </si>
  <si>
    <t>Foreign-derived intangible income deduction</t>
  </si>
  <si>
    <t>(0.5)</t>
  </si>
  <si>
    <t>(3.0)</t>
  </si>
  <si>
    <t>European Commission fines</t>
  </si>
  <si>
    <t>3.1 </t>
  </si>
  <si>
    <t>1.0 </t>
  </si>
  <si>
    <t>Deferred tax asset valuation allowance</t>
  </si>
  <si>
    <t>(2.0)</t>
  </si>
  <si>
    <t>1.4 </t>
  </si>
  <si>
    <t>Other adjustments</t>
  </si>
  <si>
    <t>Alphabet (USD)</t>
  </si>
  <si>
    <t>2016/17</t>
  </si>
  <si>
    <t>2017/18</t>
  </si>
  <si>
    <t>2018/19</t>
  </si>
  <si>
    <t>2019/20</t>
  </si>
  <si>
    <t>2020/21</t>
  </si>
  <si>
    <t>Microsoft Round Island One USD</t>
  </si>
  <si>
    <t>Apple</t>
  </si>
  <si>
    <t>Facebook</t>
  </si>
  <si>
    <t>Google</t>
  </si>
  <si>
    <t>Microsoft</t>
  </si>
  <si>
    <t>Gesamt</t>
  </si>
  <si>
    <t>Nov (David), 
mit extr u financials, 
Ohne SAP, 
20% Residual
Gesamt (in Milliarden €)</t>
  </si>
  <si>
    <t>Nov (David), 
mit extr u financials, 
Ohne SAP, 
25% Residual
Gesamt (in Milliarden €)</t>
  </si>
  <si>
    <t>Nov (David), 
Ohne extr u financials
20% Residual
Gesamt (in Milliarden €)</t>
  </si>
  <si>
    <t>Nov (David), 
Ohne extr u financials, mit SAP
25% Residual
Gesamt (in Milliarden €)</t>
  </si>
  <si>
    <t>Nov (David), 
Ohne extr u financials u SAP
20% Residual
Gesamt (in Milliarden €)</t>
  </si>
  <si>
    <t>Nov (David), 
Ohne extr u financials u SAP
25% Residual
Gesamt (in Milliarden €)</t>
  </si>
  <si>
    <t>Nov (David)
SAP
20% Residual</t>
  </si>
  <si>
    <t>Nov (David)
SAP
25% Residual</t>
  </si>
  <si>
    <t>Nov (David)
Zwischenergebnisse</t>
  </si>
  <si>
    <t>Gewinn</t>
  </si>
  <si>
    <t>Rentabilität</t>
  </si>
  <si>
    <t>Residualgewinne</t>
  </si>
  <si>
    <t>Anteil der neu verteilten Besteuerungsrechte (20% vom Residualgewinn)</t>
  </si>
  <si>
    <t>125 Milliarden laut OECD Okt21 Statement</t>
  </si>
  <si>
    <t>Deutscher Anteil an den neu verteilten Besteuerungsrechten</t>
  </si>
  <si>
    <t>Deutscher Anteil Umsätze</t>
  </si>
  <si>
    <t>(Berechnungsgrundlage)</t>
  </si>
  <si>
    <t>(Anteil am BIP: 3,42%)</t>
  </si>
  <si>
    <t>(Facebook-Nutzer und europäischer Gewinn pro Nutzer: 4,1%)</t>
  </si>
  <si>
    <t>(deutscher Anteil am Online-Markt: 3,79%)</t>
  </si>
  <si>
    <t>Zusätzliche Steuereinnahmen (OECD)</t>
  </si>
  <si>
    <t>Zusätzliche Steuereinnahmen (G24, Umverteilungsanteil = Rentabilität)</t>
  </si>
  <si>
    <t>Dt pillar 1 Zusatzeinnahmen 
Ohne extractives u financials
20%Residual</t>
  </si>
  <si>
    <t>Zusätzliche Steuereinnahmen (ATAF/ICRICT, Umverteilungsanteil = 100%)</t>
  </si>
  <si>
    <t>Dt pillar 1 Zusatzeinnahmen 
Mit extractives u financials
20% Residual</t>
  </si>
  <si>
    <t>Zusätzliche Steuereinnahmen (TJN/EU, 50% Umsatz + 50% Mitarbeiter)</t>
  </si>
  <si>
    <t>Dt pillar 1 Zusatzeinnahmen 
Mit extractives u financials
25% Residual</t>
  </si>
  <si>
    <t>SAP</t>
  </si>
  <si>
    <t>(in Mio €)</t>
  </si>
  <si>
    <t>SAP II</t>
  </si>
  <si>
    <t>Zusätzliche Steuereinnahmen</t>
  </si>
  <si>
    <t>Deutsche Steuern</t>
  </si>
  <si>
    <t>Hypothetischer Steuersatz</t>
  </si>
  <si>
    <t>ALLE 98</t>
  </si>
  <si>
    <t>Nr</t>
  </si>
  <si>
    <t>Name</t>
  </si>
  <si>
    <t>Land</t>
  </si>
  <si>
    <t>Umsätze  €</t>
  </si>
  <si>
    <t>Gewinne €</t>
  </si>
  <si>
    <t>Umsatz-
Rentabilität</t>
  </si>
  <si>
    <t>USA</t>
  </si>
  <si>
    <t>Berkshire Hathaway</t>
  </si>
  <si>
    <t>Saudi Arabian Oil Company (Saudi Aramco)</t>
  </si>
  <si>
    <t>Saudi  Arabia</t>
  </si>
  <si>
    <t>Samsung Electronics</t>
  </si>
  <si>
    <t>South Korea</t>
  </si>
  <si>
    <t>ICBC</t>
  </si>
  <si>
    <t>China</t>
  </si>
  <si>
    <t>Alphabet</t>
  </si>
  <si>
    <t>China Construction Bank</t>
  </si>
  <si>
    <t>Ping An Insurance Group</t>
  </si>
  <si>
    <t>Agricultural Bank of China</t>
  </si>
  <si>
    <t>JPMorgan Chase</t>
  </si>
  <si>
    <t>Bank of China</t>
  </si>
  <si>
    <t>Verizon Communications</t>
  </si>
  <si>
    <t>China Mobile</t>
  </si>
  <si>
    <t>Hong Kong</t>
  </si>
  <si>
    <t>Fannie Mae</t>
  </si>
  <si>
    <t>Comcast</t>
  </si>
  <si>
    <t>Bank of America</t>
  </si>
  <si>
    <t>Alibaba Group</t>
  </si>
  <si>
    <t>Nestlé</t>
  </si>
  <si>
    <t>Switzerland</t>
  </si>
  <si>
    <t>Citigroup</t>
  </si>
  <si>
    <t>Johnson &amp; Johnson</t>
  </si>
  <si>
    <t>Sony</t>
  </si>
  <si>
    <t>Japan</t>
  </si>
  <si>
    <t>Intel</t>
  </si>
  <si>
    <t>Procter &amp; Gamble</t>
  </si>
  <si>
    <t>PepsiCo</t>
  </si>
  <si>
    <t>CITIC</t>
  </si>
  <si>
    <t>Softbank</t>
  </si>
  <si>
    <t>Tencent Holdings</t>
  </si>
  <si>
    <t>Freddie Mac</t>
  </si>
  <si>
    <t>Bank of Communications</t>
  </si>
  <si>
    <t>Postal Savings Bank Of China (PSBC)</t>
  </si>
  <si>
    <t>Lockheed Martin</t>
  </si>
  <si>
    <t>Roche Holding</t>
  </si>
  <si>
    <t>Goldman Sachs Group</t>
  </si>
  <si>
    <t>China Merchants Bank</t>
  </si>
  <si>
    <t>Unilever</t>
  </si>
  <si>
    <t>United Kingdom</t>
  </si>
  <si>
    <t>Morgan Stanley</t>
  </si>
  <si>
    <t>Industrial Bank</t>
  </si>
  <si>
    <t>Shanghai Pudong Development</t>
  </si>
  <si>
    <t>LVMH Moët Hennessy Louis Vuitton</t>
  </si>
  <si>
    <t>France</t>
  </si>
  <si>
    <t>China Citic Bank</t>
  </si>
  <si>
    <t>KDDI</t>
  </si>
  <si>
    <t>China Minsheng Bank</t>
  </si>
  <si>
    <t>Novartis</t>
  </si>
  <si>
    <t>Orange</t>
  </si>
  <si>
    <t>Taiwan Semiconductor</t>
  </si>
  <si>
    <t>Taiwan</t>
  </si>
  <si>
    <t>Cisco Systems</t>
  </si>
  <si>
    <t>Merck &amp; Co.</t>
  </si>
  <si>
    <t>Pfizer</t>
  </si>
  <si>
    <t>Sberbank</t>
  </si>
  <si>
    <t>Russia</t>
  </si>
  <si>
    <t>BHP Group</t>
  </si>
  <si>
    <t>Australia</t>
  </si>
  <si>
    <t>AbbVie</t>
  </si>
  <si>
    <t>Accenture</t>
  </si>
  <si>
    <t>Ireland</t>
  </si>
  <si>
    <t>Allstate</t>
  </si>
  <si>
    <t>Rio Tinto</t>
  </si>
  <si>
    <t>Luxembourg</t>
  </si>
  <si>
    <t>GlaxoSmithKline</t>
  </si>
  <si>
    <t>RBC</t>
  </si>
  <si>
    <t>Canada</t>
  </si>
  <si>
    <t>AIA Group</t>
  </si>
  <si>
    <t>Progressive</t>
  </si>
  <si>
    <t>Sanofi</t>
  </si>
  <si>
    <t>Vale</t>
  </si>
  <si>
    <t>Brazil</t>
  </si>
  <si>
    <t>Oracle</t>
  </si>
  <si>
    <t>TD Bank Group</t>
  </si>
  <si>
    <t>Sumitomo Mitsui Financial</t>
  </si>
  <si>
    <t>Iberdrola</t>
  </si>
  <si>
    <t>Spain</t>
  </si>
  <si>
    <t>China Everbright Bank</t>
  </si>
  <si>
    <t>Abbott Laboratories</t>
  </si>
  <si>
    <t>CK Hutchison</t>
  </si>
  <si>
    <t>Sunac China Holdings</t>
  </si>
  <si>
    <t>China Shenhua Energy</t>
  </si>
  <si>
    <t>British American Tobacco</t>
  </si>
  <si>
    <t>Coca-Cola</t>
  </si>
  <si>
    <t>Honeywell International</t>
  </si>
  <si>
    <t>UBS</t>
  </si>
  <si>
    <t>Thermo Fisher Scientific</t>
  </si>
  <si>
    <t>3M</t>
  </si>
  <si>
    <t>L'Oréal</t>
  </si>
  <si>
    <t>Germany</t>
  </si>
  <si>
    <t>Bank of Nova Scotia</t>
  </si>
  <si>
    <t>Mizuho Financial</t>
  </si>
  <si>
    <t>Philip Morris International</t>
  </si>
  <si>
    <t>Medtronic</t>
  </si>
  <si>
    <t>AstraZeneca</t>
  </si>
  <si>
    <t>China Resources Land</t>
  </si>
  <si>
    <t>SK Hynix</t>
  </si>
  <si>
    <t>Longfor Group Holdings</t>
  </si>
  <si>
    <t>Banco Bradesco</t>
  </si>
  <si>
    <t>Qualcomm</t>
  </si>
  <si>
    <t>Mondelez International</t>
  </si>
  <si>
    <t>ABB</t>
  </si>
  <si>
    <t>Amgen</t>
  </si>
  <si>
    <t>Netflix</t>
  </si>
  <si>
    <t>Broadcom</t>
  </si>
  <si>
    <t>Bank of Montreal</t>
  </si>
  <si>
    <t>Oversea-Chinese Banking</t>
  </si>
  <si>
    <t>Singapore</t>
  </si>
  <si>
    <t>Eli Lilly</t>
  </si>
  <si>
    <t>Truist Financial</t>
  </si>
  <si>
    <t>Ohne Extractives and financials</t>
  </si>
  <si>
    <t>SUMME</t>
  </si>
  <si>
    <t>Ohne Extractives and financials und SAP</t>
  </si>
  <si>
    <t>Nov (David), 
mit extr u financials, 
Ohne SAP
Gesamt (in Milliarden €)</t>
  </si>
  <si>
    <t>Effektiver Steuersatz (global)</t>
  </si>
  <si>
    <t>Effektiver Steuersatz (Ausland)</t>
  </si>
  <si>
    <t>Effektiver Steuersatz (USA)</t>
  </si>
  <si>
    <t>Durchschnitt</t>
  </si>
  <si>
    <t>Oase</t>
  </si>
  <si>
    <t>Deutschland</t>
  </si>
  <si>
    <t>Gewinnanteil</t>
  </si>
  <si>
    <t>Was heißt "Steuern geschätzt"?</t>
  </si>
  <si>
    <t>na</t>
  </si>
  <si>
    <t>Formelfehler?</t>
  </si>
  <si>
    <t>Niederlande (Netflix International Holdings B.V.), €</t>
  </si>
  <si>
    <t>https://www.macrotrends.net/2548/euro-dollar-exchange-rate-historical-chart</t>
  </si>
  <si>
    <t>year-end</t>
  </si>
  <si>
    <t>1,05</t>
  </si>
  <si>
    <t>1,20</t>
  </si>
  <si>
    <t>1,15</t>
  </si>
  <si>
    <t>1,12</t>
  </si>
  <si>
    <t>1,22</t>
  </si>
  <si>
    <t>2021
(in Mrd €)</t>
  </si>
  <si>
    <t>Meta/
Facebook</t>
  </si>
  <si>
    <t>Microsoft
(2020/21)***</t>
  </si>
  <si>
    <t>Amazon</t>
  </si>
  <si>
    <t>2021
(in Mio USD)</t>
  </si>
  <si>
    <t>Global</t>
  </si>
  <si>
    <t>Effektive
Steuerrate</t>
  </si>
  <si>
    <t>154.000*</t>
  </si>
  <si>
    <t>181.000*</t>
  </si>
  <si>
    <t>1.608.000**</t>
  </si>
  <si>
    <t>2021
(in Mio €)</t>
  </si>
  <si>
    <t>Microsoft 21 Wechselkurs</t>
  </si>
  <si>
    <t>Steueroase</t>
  </si>
  <si>
    <t>* full-time/full-time equivalent</t>
  </si>
  <si>
    <t>** full-time and part-time employees</t>
  </si>
  <si>
    <t>*** Für Microsoft Wechselkurs vom 31.12.20; für andere vom 31.12.21</t>
  </si>
  <si>
    <t>Verkaufszahlen iPhone Deutschland</t>
  </si>
  <si>
    <t>Verkaufszahlen iPhone weltweit</t>
  </si>
  <si>
    <t>https://de.statista.com/statistik/daten/studie/203584/umfrage/absatz-von-apple-iphones-seit-dem-geschaeftsjahr-2007/</t>
  </si>
  <si>
    <t>Quelle</t>
  </si>
  <si>
    <t>Apple Operations International USD (Irland)</t>
  </si>
  <si>
    <t>Verkaufszahlen weltweit</t>
  </si>
  <si>
    <t>Verkaufszahlen Deutschland</t>
  </si>
  <si>
    <t>Steueroase (€)</t>
  </si>
  <si>
    <t>Quellen</t>
  </si>
  <si>
    <t>Steuern (cashflow)</t>
  </si>
  <si>
    <t>full-time equivalent employees</t>
  </si>
  <si>
    <t>Note 5</t>
  </si>
  <si>
    <t>Note 9</t>
  </si>
  <si>
    <t>Calc</t>
  </si>
  <si>
    <t>Luxemburg (€)</t>
  </si>
  <si>
    <t>Die Gesellschaft erzielt ihre Umsatzerlöse im Wesentlichen durch Dienstleistungen an andere verbundene Unternehmen innerhalb des Apple Konzerns. Diese Dienstleistungsvereinbarungen werden regelmäßig überprüft, um sicherzustellen, dass sie auch weiterhin dem Grundsatz des Fremdvergleichs entsprechen, wobei alle Entwicklungen in den Aktivitäten des Unternehmens, Änderungen im Geschäftsumfeld und Veränderungen auf dem Markt berücksichtigt werden. Die Dienstleistungen beziehen sich in erster Linie auf Vertriebsunterstützung und Marketingaktivitäten.</t>
  </si>
  <si>
    <t>(seit 2021 nur noch befreiender Konzernabschluss)</t>
  </si>
  <si>
    <t>Apple Operations International</t>
  </si>
  <si>
    <t>Cash taxes paid</t>
  </si>
  <si>
    <t>Gewinn vor Steuern</t>
  </si>
  <si>
    <t>Steuern global (current)</t>
  </si>
  <si>
    <t>Steuern global (total P&amp;L)</t>
  </si>
  <si>
    <t>Steuern global (cashflow)</t>
  </si>
  <si>
    <t>Steuersatz global (total P&amp;L)</t>
  </si>
  <si>
    <t>Steuersatz global (current)</t>
  </si>
  <si>
    <t>Steuersatz global (cashflow)</t>
  </si>
  <si>
    <t>Meta</t>
  </si>
  <si>
    <t>Gewinn Ausland</t>
  </si>
  <si>
    <t>Gewinnanteil Ausland</t>
  </si>
  <si>
    <t>Geschätzter Umsatzanteil Deutschland</t>
  </si>
  <si>
    <t>Geschätzter Gewinnanteil Deutschland</t>
  </si>
  <si>
    <t>Mitarbeiter global</t>
  </si>
  <si>
    <t>Geschätzte Steuern Deutschland</t>
  </si>
  <si>
    <t>Differenz</t>
  </si>
  <si>
    <t>Mitarbeiteranteil Deutschland</t>
  </si>
  <si>
    <t>Formel (50/50)</t>
  </si>
  <si>
    <t>Note 14</t>
  </si>
  <si>
    <t>employee headcount</t>
  </si>
  <si>
    <t>Revenue Europe</t>
  </si>
  <si>
    <t>employees</t>
  </si>
  <si>
    <t>Die Gesellschaft gehört zur weltweiten Alphabet Gruppe und fungiert im Wesentlichen als Servicegesellschaft der Google LLC, USA, und der Google Ireland Ltd., Irland, und erbringt für den deutschen Markt Dienstleistungen in den Bereichen Marketing sowie Forschung und Entwicklung (F&amp;E).</t>
  </si>
  <si>
    <t>Meta Platforms Ireland Limited (Facebook Ireland Limited) €</t>
  </si>
  <si>
    <t>No details on administrative costs (37bn) provided</t>
  </si>
  <si>
    <t>Google Ireland Unlimited ceased operations in 2020</t>
  </si>
  <si>
    <t>2021/22</t>
  </si>
  <si>
    <t>Note 12</t>
  </si>
  <si>
    <t>full-time basis</t>
  </si>
  <si>
    <t>Income from investments in group companies</t>
  </si>
  <si>
    <t>The company became tax resident in Ireland on 1.1.2021, no taxable income</t>
  </si>
  <si>
    <t>Die Landesgesellschaften konzentrieren sich auf wesentliche unternehmerische Kernbereiche - insbesondere die Kundenbetreuung, Marketing und Akquisition - während übergreifende betriebliche Funktionen zentral wahrgenommen werden. So werden sämtliche Rechte zur Produktvervielfältigung und -lizenzierung von Microsoft an einige wenige Operations-Center übertragen, die wiederum berechtigt sind, Nutzungsrechte zu übertragen.Die Microsoft Deutschland GmbH ist in Deutschland für das Marketing der Produkte und die Betreuung von Kund*innen und Partnern zuständig. Die Microsoft Deutschland GmbH kooperiert dazu mit rund 30.000 lokalen Partnerunternehmen. Neben der Firmenzentrale in München Schwabing ist die Microsoft Deutschland GmbH bundesweit mit sieben weiteren Regionalbüros (Berlin, Frankfurt, Hamburg, Köln, München, Stuttgart, Walldorf, Eningen) vertreten.1Die Gesellschaft betätigt sich nicht im Bereich Forschung und Entwicklung. Mitarbeiter*innen, die die Gesellschaft in diesem Bereich beschäftigt, sind ausschließlich im Auftrag der Microsoft Corporation tätig.</t>
  </si>
  <si>
    <t>Microsoft Germany</t>
  </si>
  <si>
    <t>2019/2020</t>
  </si>
  <si>
    <t>Microsoft MCIO</t>
  </si>
  <si>
    <t>2020/2021</t>
  </si>
  <si>
    <t>EMIC</t>
  </si>
  <si>
    <t>MSMD</t>
  </si>
  <si>
    <t>Subsidiary name</t>
  </si>
  <si>
    <t>Place of registration</t>
  </si>
  <si>
    <t>Owner</t>
  </si>
  <si>
    <t>Organ</t>
  </si>
  <si>
    <t>Intangible Assets</t>
  </si>
  <si>
    <t>Turnover</t>
  </si>
  <si>
    <t>Profit before tax</t>
  </si>
  <si>
    <t>Profitability</t>
  </si>
  <si>
    <t>Profit after tax</t>
  </si>
  <si>
    <t>Tax according to P&amp;L</t>
  </si>
  <si>
    <t>Employees</t>
  </si>
  <si>
    <t>Carried profits (losses)</t>
  </si>
  <si>
    <t>Tax rate</t>
  </si>
  <si>
    <t>Parent of (GER)</t>
  </si>
  <si>
    <t>Activitiy</t>
  </si>
  <si>
    <t>Total</t>
  </si>
  <si>
    <t>Amazon Deutschland W1 Transport GmbH</t>
  </si>
  <si>
    <t>München</t>
  </si>
  <si>
    <t>Amazon Europe Core S.à r.l.</t>
  </si>
  <si>
    <t xml:space="preserve">Logistik </t>
  </si>
  <si>
    <t>Amazon Development Center Germany GmbH</t>
  </si>
  <si>
    <t>Berlin</t>
  </si>
  <si>
    <t>Amazon Int'l., Inc., Wilmington, DE, USA</t>
  </si>
  <si>
    <t xml:space="preserve">Forschung und Entwicklung Software </t>
  </si>
  <si>
    <t>Amazon Online Germany GmbH</t>
  </si>
  <si>
    <t>Vermögensverwaltung</t>
  </si>
  <si>
    <t>Amazon VZ Garbsen GmbH</t>
  </si>
  <si>
    <t>Garbsen</t>
  </si>
  <si>
    <t>Amazon Digital Germany GmbH</t>
  </si>
  <si>
    <t xml:space="preserve">Dienstleistungen online home entertainment </t>
  </si>
  <si>
    <t>Amazon Logistik Winsen GmbH</t>
  </si>
  <si>
    <t>Winsen (Luhe)</t>
  </si>
  <si>
    <t>Amazon Logistik Westfalenhuette GmbH</t>
  </si>
  <si>
    <t>Dortmund</t>
  </si>
  <si>
    <t>Amazon VCC GmbH</t>
  </si>
  <si>
    <t xml:space="preserve">Kundenbetreuung </t>
  </si>
  <si>
    <t>Amazon Deutschland N1 Transport GmbH</t>
  </si>
  <si>
    <t>Amazon Deutschland S1 Transport GmbH</t>
  </si>
  <si>
    <t>Amazon CS Berlin GmbH</t>
  </si>
  <si>
    <t>Amazon Deutschland E1 Transport GmbH</t>
  </si>
  <si>
    <t>Amazon Deutschland Transport GmbH</t>
  </si>
  <si>
    <t>Amazon VZ Rheinland GmbH</t>
  </si>
  <si>
    <t>Köln</t>
  </si>
  <si>
    <t>Amazon Verteilzentrum Krefeld GmbH</t>
  </si>
  <si>
    <t>Krefeld</t>
  </si>
  <si>
    <t>Amazon Logistik AF München GmbH</t>
  </si>
  <si>
    <t>Amazon Logistik Dortmund GmbH</t>
  </si>
  <si>
    <t>Amazon Logistik Werne GmbH</t>
  </si>
  <si>
    <t>Werne</t>
  </si>
  <si>
    <t>Amazon Fulfillment Germany GmbH</t>
  </si>
  <si>
    <t>Amazon Distribution GmbH</t>
  </si>
  <si>
    <t>Leipzig</t>
  </si>
  <si>
    <t>Amazon Logistik Potsdam GmbH</t>
  </si>
  <si>
    <t>Brieselang</t>
  </si>
  <si>
    <t>Amazon Pforzheim GmbH</t>
  </si>
  <si>
    <t>Pforzheim</t>
  </si>
  <si>
    <t>Amazon Logistik Moenchengladbach GmbH</t>
  </si>
  <si>
    <t>Mönchengladbach</t>
  </si>
  <si>
    <t>Amazon Logistik GmbH</t>
  </si>
  <si>
    <t>Bad Hersfeld</t>
  </si>
  <si>
    <t>Amazon Deutschland Services GmbH</t>
  </si>
  <si>
    <t xml:space="preserve"> Amazon EU S.à r.l.</t>
  </si>
  <si>
    <t>Informations- &amp; Kommunikationstechnik</t>
  </si>
  <si>
    <t>Amazon FC Graben GmbH</t>
  </si>
  <si>
    <t>Graben</t>
  </si>
  <si>
    <t>Logistik</t>
  </si>
  <si>
    <t>Amazon Koblenz GmbH</t>
  </si>
  <si>
    <t>Koblenz</t>
  </si>
  <si>
    <t>Amazon VZ Suedhessen GmbH</t>
  </si>
  <si>
    <t>Hattersheim</t>
  </si>
  <si>
    <t>1.347.271,97</t>
  </si>
  <si>
    <t>Amazon Deutschland W5 Transport GmbH</t>
  </si>
  <si>
    <t>597.554,10</t>
  </si>
  <si>
    <t>Amazon City Logistik Alpha GmbH</t>
  </si>
  <si>
    <t>835.707,63</t>
  </si>
  <si>
    <t>Amazon VZ Berlin-Brandenburg GmbH</t>
  </si>
  <si>
    <t>Schönefeld</t>
  </si>
  <si>
    <t>1.251.356,75</t>
  </si>
  <si>
    <t>Amazon Deutschland E5 Transport GmbH</t>
  </si>
  <si>
    <t>703.375,75</t>
  </si>
  <si>
    <t>Amazon Deutschland W6 Transport GmbH</t>
  </si>
  <si>
    <t>260.746,12</t>
  </si>
  <si>
    <t>Amazon Deutschland N7 Transport GmbH</t>
  </si>
  <si>
    <t>563.839,97</t>
  </si>
  <si>
    <t>Amazon Deutschland S3 Transport GmbH</t>
  </si>
  <si>
    <t>736.756,08</t>
  </si>
  <si>
    <t>Amazon Logistik SnL 1 GmbH</t>
  </si>
  <si>
    <t>195.508,75</t>
  </si>
  <si>
    <t>Amazon Deutschland N6 Transport GmbH</t>
  </si>
  <si>
    <t>738.216,62</t>
  </si>
  <si>
    <t>Amazon Deutschland E2 Transport GmbH</t>
  </si>
  <si>
    <t>546.459,97</t>
  </si>
  <si>
    <t>Amazon Deutschland W2 Transport GmbH</t>
  </si>
  <si>
    <t>645.539,39</t>
  </si>
  <si>
    <t>Amazon Deutschland N2 Transport GmbH</t>
  </si>
  <si>
    <t>397.530,69</t>
  </si>
  <si>
    <t>Amazon Deutschland N3 Transport GmbH</t>
  </si>
  <si>
    <t>521.626,87</t>
  </si>
  <si>
    <t>Amazon SZ Franken GmbH</t>
  </si>
  <si>
    <t>Nürnberg</t>
  </si>
  <si>
    <t>1.550.249,79</t>
  </si>
  <si>
    <t>Amazon Deutschland W7 Transport GmbH</t>
  </si>
  <si>
    <t>619.591,06</t>
  </si>
  <si>
    <t>Amazon Deutschland E3 Transport GmbH</t>
  </si>
  <si>
    <t>514.875,32</t>
  </si>
  <si>
    <t>Amazon Deutschland W4 Transport GmbH</t>
  </si>
  <si>
    <t>467.708,10</t>
  </si>
  <si>
    <t>Amazon Deutschland E4 Transport GmbH</t>
  </si>
  <si>
    <t>594.538,65</t>
  </si>
  <si>
    <t>Amazon Deutschland S4 Transport GmbH</t>
  </si>
  <si>
    <t>537.856,36</t>
  </si>
  <si>
    <t>Amazon City Logistik Gamma GmbH</t>
  </si>
  <si>
    <t>SUMME Deutschland</t>
  </si>
  <si>
    <t>Twitch Europe</t>
  </si>
  <si>
    <t>Luxemburg</t>
  </si>
  <si>
    <t>x</t>
  </si>
  <si>
    <t>to provide services to affilliates; dormant since January 2020</t>
  </si>
  <si>
    <t>Amazon Business EU SARL</t>
  </si>
  <si>
    <t>Amazon.com, Inc.</t>
  </si>
  <si>
    <t>to sell goods and services through certain websites to business customers</t>
  </si>
  <si>
    <t>Amazon Payments Europe S.C.A.</t>
  </si>
  <si>
    <t xml:space="preserve">to act as an Electronic Money Instituation </t>
  </si>
  <si>
    <t>Amazon International Services SARL</t>
  </si>
  <si>
    <t xml:space="preserve">to provide financial and treasury services to affiliated undertakings </t>
  </si>
  <si>
    <t>PAH AMAZON HOLDINGS SARL</t>
  </si>
  <si>
    <t>Amazon Agri Biotech LUX SARL</t>
  </si>
  <si>
    <t>Amazon Web Services EMEA SARL</t>
  </si>
  <si>
    <t>the sale and promotion of cloud computing services and the sale of professional and training services</t>
  </si>
  <si>
    <t>Amazon EU S.a.r.l</t>
  </si>
  <si>
    <t>to sell goods and services through certain websites. The Company also holds interests in other companies and other assets</t>
  </si>
  <si>
    <t>AMAZON INSURANCE S.à r.l.</t>
  </si>
  <si>
    <t>Amazon Luxembourg S.à r.l.</t>
  </si>
  <si>
    <t>Amazon Eurasia Holdings S.à.r.l.</t>
  </si>
  <si>
    <t>to hold interests in other companies and assets</t>
  </si>
  <si>
    <t>Amazon Digital GmbH; LEJ3 Fulfillment GmbH; Amazon Logistik Mönchengladbach; Amazon Logistik GmbH; Amazon Verteilzentrum Krefeld GmbH; Amazon Logistik Frankenthal GmbH; Amazon Logistik Winsen GmbH; Amazon Logistik Oelde GmbH</t>
  </si>
  <si>
    <t xml:space="preserve">to provide services to ist affiliated undertakings. The Company also holds interests in other companies and other assets </t>
  </si>
  <si>
    <t>Amazon Media EU S.à.r.l.</t>
  </si>
  <si>
    <t xml:space="preserve">to acquire  and license digital content, as well as provide certain services relating to the sale of this content </t>
  </si>
  <si>
    <t>AMAZON OIL VENTURES S.à r.l.</t>
  </si>
  <si>
    <t>Amazon Services Europe S.à r.l.</t>
  </si>
  <si>
    <t xml:space="preserve">to provide services via certain websites </t>
  </si>
  <si>
    <t>Amazon Europe Holding Technologies S.à r.l.</t>
  </si>
  <si>
    <t>Amazon Global Store EU S.à r.l.</t>
  </si>
  <si>
    <t>to sell goods and services through certain websites</t>
  </si>
  <si>
    <t>AMAZON INSURANCE &amp; PENSION SERVICES S.à r.l.</t>
  </si>
  <si>
    <t>SUMME Luxemburg</t>
  </si>
  <si>
    <t>Umsatzanteil Deutschland (laut Amazon)</t>
  </si>
  <si>
    <t>full-time and part-time employees</t>
  </si>
  <si>
    <t>Big5</t>
  </si>
  <si>
    <t>"Steuersatz" Deutschland</t>
  </si>
  <si>
    <t>Umsatz Deutschland (dt. Töchter)</t>
  </si>
  <si>
    <t>Gewinn Deutschland (dt. Töchter)</t>
  </si>
  <si>
    <t>Steuern Deutschland (dt. Töchter)</t>
  </si>
  <si>
    <t>Steuersatz Deutschland (dt. Töchter)</t>
  </si>
  <si>
    <t>Anteil iPhones am globalen Umsatz</t>
  </si>
  <si>
    <t>Umsatz in Europa</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</si>
</sst>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 _€_-;\-* #,##0.00\ _€_-;_-* &quot;-&quot;??\ _€_-;_-@_-"/>
    <numFmt numFmtId="164" formatCode="0\ %"/>
    <numFmt numFmtId="165" formatCode="0.00\ %"/>
    <numFmt numFmtId="166" formatCode="0.0%"/>
    <numFmt numFmtId="167" formatCode="0.0\ %"/>
    <numFmt numFmtId="168" formatCode="0.000"/>
    <numFmt numFmtId="169" formatCode="#,##0.0"/>
    <numFmt numFmtId="170" formatCode="#,##0.000"/>
    <numFmt numFmtId="171" formatCode="#,##0.0000"/>
    <numFmt numFmtId="172" formatCode="0.0"/>
    <numFmt numFmtId="173" formatCode="#.##0"/>
    <numFmt numFmtId="174" formatCode="_-* #,##0.00_-;\-* #,##0.00_-;_-* &quot;-&quot;??_-;_-@_-"/>
  </numFmts>
  <fonts count="29">
    <font>
      <sz val="11"/>
      <color rgb="FF000000"/>
      <name val="Calibri"/>
      <charset val="1"/>
    </font>
    <font>
      <sz val="11"/>
      <color theme="1"/>
      <name val="Calibri"/>
      <family val="2"/>
      <scheme val="minor"/>
    </font>
    <font>
      <sz val="11"/>
      <color rgb="FF000000"/>
      <name val="Calibri"/>
      <family val="2"/>
      <charset val="1"/>
    </font>
    <font>
      <b/>
      <sz val="11"/>
      <color rgb="FFFFFFFF"/>
      <name val="Calibri"/>
      <family val="2"/>
      <charset val="1"/>
    </font>
    <font>
      <sz val="11"/>
      <color rgb="FFFF8000"/>
      <name val="Calibri"/>
      <family val="2"/>
    </font>
    <font>
      <sz val="9"/>
      <color rgb="FF000000"/>
      <name val="Tahoma"/>
      <family val="2"/>
      <charset val="1"/>
    </font>
    <font>
      <b/>
      <sz val="11"/>
      <color rgb="FF000000"/>
      <name val="Calibri"/>
      <family val="2"/>
      <charset val="1"/>
    </font>
    <font>
      <b/>
      <sz val="11"/>
      <color rgb="FF000000"/>
      <name val="Calibri"/>
      <family val="2"/>
    </font>
    <font>
      <b/>
      <sz val="11"/>
      <name val="Calibri"/>
      <family val="2"/>
      <charset val="128"/>
    </font>
    <font>
      <sz val="7"/>
      <color rgb="FF000000"/>
      <name val="Calibri"/>
      <family val="2"/>
      <charset val="1"/>
    </font>
    <font>
      <sz val="11"/>
      <color rgb="FFFF0000"/>
      <name val="Calibri"/>
      <family val="2"/>
      <charset val="1"/>
    </font>
    <font>
      <sz val="11"/>
      <color rgb="FF008000"/>
      <name val="Calibri"/>
      <family val="2"/>
      <charset val="1"/>
    </font>
    <font>
      <sz val="11"/>
      <color rgb="FF000000"/>
      <name val="Calibri"/>
      <family val="2"/>
    </font>
    <font>
      <sz val="11"/>
      <color theme="1"/>
      <name val="Liberation Sans"/>
    </font>
    <font>
      <sz val="11"/>
      <color rgb="FFFFFFFF"/>
      <name val="Liberation Sans"/>
    </font>
    <font>
      <sz val="10"/>
      <color theme="1"/>
      <name val="Liberation Sans"/>
    </font>
    <font>
      <sz val="10"/>
      <color rgb="FF000000"/>
      <name val="Liberation Sans"/>
    </font>
    <font>
      <sz val="11"/>
      <color rgb="FFFF8000"/>
      <name val="Calibri"/>
      <family val="2"/>
    </font>
    <font>
      <sz val="11"/>
      <color rgb="FFFF8000"/>
      <name val="Liberation Sans"/>
    </font>
    <font>
      <sz val="10"/>
      <color rgb="FFFF8000"/>
      <name val="Liberation Sans"/>
    </font>
    <font>
      <b/>
      <sz val="11"/>
      <color theme="1"/>
      <name val="Calibri"/>
      <family val="2"/>
      <scheme val="minor"/>
    </font>
    <font>
      <sz val="9"/>
      <color indexed="81"/>
      <name val="Segoe UI"/>
      <family val="2"/>
    </font>
    <font>
      <b/>
      <sz val="9"/>
      <color indexed="81"/>
      <name val="Segoe UI"/>
      <family val="2"/>
    </font>
    <font>
      <sz val="10"/>
      <color rgb="FF000000"/>
      <name val="Times New Roman"/>
      <family val="1"/>
    </font>
    <font>
      <u/>
      <sz val="11"/>
      <color theme="10"/>
      <name val="Calibri"/>
      <family val="2"/>
      <scheme val="minor"/>
    </font>
    <font>
      <sz val="11"/>
      <name val="Calibri"/>
      <family val="2"/>
      <scheme val="minor"/>
    </font>
    <font>
      <u/>
      <sz val="11"/>
      <name val="Calibri"/>
      <family val="2"/>
      <scheme val="minor"/>
    </font>
    <font>
      <sz val="9"/>
      <color indexed="81"/>
      <name val="Segoe UI"/>
      <charset val="1"/>
    </font>
    <font>
      <b/>
      <sz val="9"/>
      <color indexed="81"/>
      <name val="Segoe UI"/>
      <charset val="1"/>
    </font>
  </fonts>
  <fills count="18">
    <fill>
      <patternFill patternType="none"/>
    </fill>
    <fill>
      <patternFill patternType="gray125"/>
    </fill>
    <fill>
      <patternFill patternType="solid">
        <fgColor rgb="FF1F497D"/>
        <bgColor rgb="FF003366"/>
      </patternFill>
    </fill>
    <fill>
      <patternFill patternType="solid">
        <fgColor rgb="FFFFFF00"/>
        <bgColor rgb="FFFFFF00"/>
      </patternFill>
    </fill>
    <fill>
      <patternFill patternType="solid">
        <fgColor rgb="FFFFC000"/>
        <bgColor rgb="FFFFFF00"/>
      </patternFill>
    </fill>
    <fill>
      <patternFill patternType="solid">
        <fgColor rgb="FFFFDBB6"/>
        <bgColor rgb="FFF7D1D5"/>
      </patternFill>
    </fill>
    <fill>
      <patternFill patternType="solid">
        <fgColor rgb="FFC6D9F1"/>
        <bgColor rgb="FFD9D9D9"/>
      </patternFill>
    </fill>
    <fill>
      <patternFill patternType="solid">
        <fgColor rgb="FFFFA6A6"/>
        <bgColor rgb="FFFF8080"/>
      </patternFill>
    </fill>
    <fill>
      <patternFill patternType="solid">
        <fgColor rgb="FF4F81BD"/>
        <bgColor rgb="FF4A7EBB"/>
      </patternFill>
    </fill>
    <fill>
      <patternFill patternType="solid">
        <fgColor rgb="FFFF0000"/>
        <bgColor rgb="FF993300"/>
      </patternFill>
    </fill>
    <fill>
      <patternFill patternType="solid">
        <fgColor rgb="FFF7D1D5"/>
        <bgColor rgb="FFFFDBB6"/>
      </patternFill>
    </fill>
    <fill>
      <patternFill patternType="solid">
        <fgColor rgb="FFDCE6F2"/>
        <bgColor rgb="FFD9D9D9"/>
      </patternFill>
    </fill>
    <fill>
      <patternFill patternType="solid">
        <fgColor rgb="FF2A6099"/>
        <bgColor rgb="FF2A6099"/>
      </patternFill>
    </fill>
    <fill>
      <patternFill patternType="solid">
        <fgColor rgb="FFDDDDDD"/>
        <bgColor rgb="FFDDDDDD"/>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5" tint="0.79998168889431442"/>
        <bgColor indexed="64"/>
      </patternFill>
    </fill>
  </fills>
  <borders count="6">
    <border>
      <left/>
      <right/>
      <top/>
      <bottom/>
      <diagonal/>
    </border>
    <border>
      <left style="thin">
        <color rgb="FFF2F2F2"/>
      </left>
      <right style="thin">
        <color rgb="FFF2F2F2"/>
      </right>
      <top style="thin">
        <color rgb="FFF2F2F2"/>
      </top>
      <bottom style="thin">
        <color rgb="FFF2F2F2"/>
      </bottom>
      <diagonal/>
    </border>
    <border>
      <left style="thin">
        <color rgb="FF95B3D7"/>
      </left>
      <right/>
      <top style="thin">
        <color rgb="FF95B3D7"/>
      </top>
      <bottom style="thin">
        <color rgb="FF95B3D7"/>
      </bottom>
      <diagonal/>
    </border>
    <border>
      <left/>
      <right/>
      <top style="thin">
        <color rgb="FF95B3D7"/>
      </top>
      <bottom style="thin">
        <color rgb="FF95B3D7"/>
      </bottom>
      <diagonal/>
    </border>
    <border>
      <left/>
      <right style="thin">
        <color rgb="FF95B3D7"/>
      </right>
      <top style="thin">
        <color rgb="FF95B3D7"/>
      </top>
      <bottom style="thin">
        <color rgb="FF95B3D7"/>
      </bottom>
      <diagonal/>
    </border>
    <border>
      <left/>
      <right/>
      <top style="thin">
        <color indexed="64"/>
      </top>
      <bottom style="thin">
        <color indexed="64"/>
      </bottom>
      <diagonal/>
    </border>
  </borders>
  <cellStyleXfs count="8">
    <xf numFmtId="0" fontId="0" fillId="0" borderId="0"/>
    <xf numFmtId="164" fontId="12" fillId="0" borderId="0" applyBorder="0" applyProtection="0"/>
    <xf numFmtId="0" fontId="2" fillId="0" borderId="0"/>
    <xf numFmtId="0" fontId="13" fillId="0" borderId="0"/>
    <xf numFmtId="0" fontId="1" fillId="0" borderId="0"/>
    <xf numFmtId="9" fontId="1" fillId="0" borderId="0" applyFont="0" applyFill="0" applyBorder="0" applyAlignment="0" applyProtection="0"/>
    <xf numFmtId="174" fontId="1" fillId="0" borderId="0" applyFont="0" applyFill="0" applyBorder="0" applyAlignment="0" applyProtection="0"/>
    <xf numFmtId="0" fontId="24" fillId="0" borderId="0" applyNumberFormat="0" applyFill="0" applyBorder="0" applyAlignment="0" applyProtection="0"/>
  </cellStyleXfs>
  <cellXfs count="209">
    <xf numFmtId="0" fontId="0" fillId="0" borderId="0" xfId="0"/>
    <xf numFmtId="0" fontId="2" fillId="0" borderId="1" xfId="0" applyFont="1" applyBorder="1"/>
    <xf numFmtId="0" fontId="3" fillId="2" borderId="0" xfId="0" applyFont="1" applyFill="1"/>
    <xf numFmtId="0" fontId="0" fillId="0" borderId="0" xfId="0" applyFont="1"/>
    <xf numFmtId="3" fontId="0" fillId="0" borderId="0" xfId="0" applyNumberFormat="1"/>
    <xf numFmtId="3" fontId="0" fillId="0" borderId="0" xfId="0" applyNumberFormat="1" applyFont="1" applyAlignment="1">
      <alignment horizontal="right" wrapText="1"/>
    </xf>
    <xf numFmtId="165" fontId="2" fillId="0" borderId="0" xfId="1" applyNumberFormat="1" applyFont="1" applyBorder="1" applyAlignment="1" applyProtection="1">
      <alignment horizontal="right" wrapText="1"/>
    </xf>
    <xf numFmtId="0" fontId="0" fillId="0" borderId="0" xfId="0" applyFont="1" applyAlignment="1">
      <alignment wrapText="1"/>
    </xf>
    <xf numFmtId="0" fontId="2" fillId="0" borderId="0" xfId="0" applyFont="1" applyAlignment="1">
      <alignment wrapText="1"/>
    </xf>
    <xf numFmtId="165" fontId="0" fillId="0" borderId="0" xfId="0" applyNumberFormat="1" applyFont="1"/>
    <xf numFmtId="0" fontId="2" fillId="0" borderId="0" xfId="0" applyFont="1"/>
    <xf numFmtId="165" fontId="0" fillId="0" borderId="0" xfId="1" applyNumberFormat="1" applyFont="1" applyBorder="1" applyAlignment="1" applyProtection="1"/>
    <xf numFmtId="165" fontId="0" fillId="0" borderId="0" xfId="0" applyNumberFormat="1"/>
    <xf numFmtId="164" fontId="0" fillId="0" borderId="0" xfId="1" applyFont="1" applyBorder="1" applyAlignment="1" applyProtection="1"/>
    <xf numFmtId="4" fontId="0" fillId="0" borderId="0" xfId="0" applyNumberFormat="1"/>
    <xf numFmtId="4" fontId="2" fillId="0" borderId="0" xfId="0" applyNumberFormat="1" applyFont="1" applyAlignment="1">
      <alignment horizontal="right" wrapText="1"/>
    </xf>
    <xf numFmtId="4" fontId="0" fillId="0" borderId="0" xfId="0" applyNumberFormat="1" applyFont="1" applyAlignment="1">
      <alignment horizontal="right"/>
    </xf>
    <xf numFmtId="3" fontId="0" fillId="3" borderId="0" xfId="0" applyNumberFormat="1" applyFont="1" applyFill="1" applyAlignment="1">
      <alignment horizontal="right" wrapText="1"/>
    </xf>
    <xf numFmtId="0" fontId="3" fillId="2" borderId="0" xfId="0" applyFont="1" applyFill="1" applyAlignment="1">
      <alignment wrapText="1"/>
    </xf>
    <xf numFmtId="3" fontId="2" fillId="0" borderId="0" xfId="0" applyNumberFormat="1" applyFont="1"/>
    <xf numFmtId="1" fontId="0" fillId="0" borderId="0" xfId="0" applyNumberFormat="1"/>
    <xf numFmtId="3" fontId="0" fillId="0" borderId="0" xfId="0" applyNumberFormat="1" applyFont="1"/>
    <xf numFmtId="0" fontId="4" fillId="0" borderId="0" xfId="0" applyFont="1" applyAlignment="1">
      <alignment wrapText="1"/>
    </xf>
    <xf numFmtId="4" fontId="0" fillId="0" borderId="0" xfId="0" applyNumberFormat="1" applyFont="1" applyAlignment="1">
      <alignment horizontal="right" wrapText="1"/>
    </xf>
    <xf numFmtId="0" fontId="0" fillId="6" borderId="0" xfId="0" applyFont="1" applyFill="1"/>
    <xf numFmtId="4" fontId="2" fillId="0" borderId="0" xfId="0" applyNumberFormat="1" applyFont="1"/>
    <xf numFmtId="4" fontId="2" fillId="0" borderId="0" xfId="0" applyNumberFormat="1" applyFont="1" applyAlignment="1">
      <alignment horizontal="right"/>
    </xf>
    <xf numFmtId="165" fontId="0" fillId="0" borderId="0" xfId="0" applyNumberFormat="1" applyFont="1" applyAlignment="1">
      <alignment horizontal="right"/>
    </xf>
    <xf numFmtId="3" fontId="0" fillId="5" borderId="0" xfId="0" applyNumberFormat="1" applyFill="1"/>
    <xf numFmtId="0" fontId="0" fillId="5" borderId="0" xfId="0" applyFill="1"/>
    <xf numFmtId="165" fontId="0" fillId="5" borderId="0" xfId="0" applyNumberFormat="1" applyFill="1"/>
    <xf numFmtId="0" fontId="0" fillId="7" borderId="0" xfId="0" applyFont="1" applyFill="1"/>
    <xf numFmtId="0" fontId="0" fillId="0" borderId="0" xfId="0" applyAlignment="1">
      <alignment wrapText="1"/>
    </xf>
    <xf numFmtId="0" fontId="2" fillId="0" borderId="2" xfId="0" applyFont="1" applyBorder="1"/>
    <xf numFmtId="166" fontId="0" fillId="0" borderId="0" xfId="1" applyNumberFormat="1" applyFont="1" applyBorder="1" applyAlignment="1" applyProtection="1"/>
    <xf numFmtId="167" fontId="12" fillId="0" borderId="0" xfId="1" applyNumberFormat="1" applyBorder="1" applyProtection="1"/>
    <xf numFmtId="165" fontId="12" fillId="0" borderId="0" xfId="1" applyNumberFormat="1" applyBorder="1" applyProtection="1"/>
    <xf numFmtId="0" fontId="3" fillId="8" borderId="3" xfId="0" applyFont="1" applyFill="1" applyBorder="1"/>
    <xf numFmtId="0" fontId="6" fillId="0" borderId="0" xfId="0" applyFont="1"/>
    <xf numFmtId="0" fontId="7" fillId="6" borderId="0" xfId="0" applyFont="1" applyFill="1" applyAlignment="1">
      <alignment horizontal="left"/>
    </xf>
    <xf numFmtId="3" fontId="0" fillId="9" borderId="0" xfId="0" applyNumberFormat="1" applyFill="1"/>
    <xf numFmtId="0" fontId="7" fillId="0" borderId="0" xfId="0" applyFont="1" applyAlignment="1">
      <alignment wrapText="1"/>
    </xf>
    <xf numFmtId="0" fontId="0" fillId="0" borderId="0" xfId="0" applyFont="1" applyAlignment="1">
      <alignment horizontal="right"/>
    </xf>
    <xf numFmtId="164" fontId="12" fillId="0" borderId="0" xfId="1" applyBorder="1" applyProtection="1"/>
    <xf numFmtId="168" fontId="0" fillId="0" borderId="0" xfId="0" applyNumberFormat="1"/>
    <xf numFmtId="169" fontId="0" fillId="0" borderId="0" xfId="0" applyNumberFormat="1"/>
    <xf numFmtId="170" fontId="0" fillId="0" borderId="0" xfId="0" applyNumberFormat="1"/>
    <xf numFmtId="171" fontId="0" fillId="0" borderId="0" xfId="0" applyNumberFormat="1"/>
    <xf numFmtId="0" fontId="0" fillId="0" borderId="0" xfId="0" applyFont="1"/>
    <xf numFmtId="0" fontId="7" fillId="0" borderId="0" xfId="0" applyFont="1" applyAlignment="1">
      <alignment horizontal="center"/>
    </xf>
    <xf numFmtId="0" fontId="8" fillId="0" borderId="0" xfId="0" applyFont="1" applyAlignment="1">
      <alignment horizontal="center" wrapText="1"/>
    </xf>
    <xf numFmtId="0" fontId="7" fillId="0" borderId="0" xfId="0" applyFont="1" applyAlignment="1">
      <alignment horizontal="right"/>
    </xf>
    <xf numFmtId="0" fontId="7" fillId="10" borderId="0" xfId="0" applyFont="1" applyFill="1" applyAlignment="1">
      <alignment horizontal="right"/>
    </xf>
    <xf numFmtId="0" fontId="0" fillId="10" borderId="0" xfId="0" applyFont="1" applyFill="1"/>
    <xf numFmtId="0" fontId="0" fillId="10" borderId="0" xfId="0" applyFont="1" applyFill="1" applyAlignment="1">
      <alignment horizontal="right"/>
    </xf>
    <xf numFmtId="165" fontId="0" fillId="10" borderId="0" xfId="0" applyNumberFormat="1" applyFont="1" applyFill="1" applyAlignment="1">
      <alignment horizontal="right"/>
    </xf>
    <xf numFmtId="165" fontId="0" fillId="0" borderId="0" xfId="0" applyNumberFormat="1"/>
    <xf numFmtId="169" fontId="7" fillId="0" borderId="0" xfId="0" applyNumberFormat="1" applyFont="1"/>
    <xf numFmtId="164" fontId="0" fillId="0" borderId="0" xfId="0" applyNumberFormat="1"/>
    <xf numFmtId="0" fontId="3" fillId="8" borderId="2" xfId="0" applyFont="1" applyFill="1" applyBorder="1"/>
    <xf numFmtId="0" fontId="3" fillId="8" borderId="4" xfId="0" applyFont="1" applyFill="1" applyBorder="1"/>
    <xf numFmtId="164" fontId="2" fillId="0" borderId="3" xfId="1" applyFont="1" applyBorder="1" applyAlignment="1" applyProtection="1"/>
    <xf numFmtId="0" fontId="2" fillId="11" borderId="2" xfId="0" applyFont="1" applyFill="1" applyBorder="1"/>
    <xf numFmtId="164" fontId="2" fillId="11" borderId="3" xfId="1" applyFont="1" applyFill="1" applyBorder="1" applyAlignment="1" applyProtection="1"/>
    <xf numFmtId="0" fontId="6" fillId="0" borderId="0" xfId="0" applyFont="1" applyAlignment="1"/>
    <xf numFmtId="0" fontId="9" fillId="0" borderId="0" xfId="0" applyFont="1"/>
    <xf numFmtId="0" fontId="6" fillId="0" borderId="0" xfId="0" applyFont="1" applyAlignment="1">
      <alignment wrapText="1"/>
    </xf>
    <xf numFmtId="3" fontId="2" fillId="3" borderId="0" xfId="0" applyNumberFormat="1" applyFont="1" applyFill="1"/>
    <xf numFmtId="3" fontId="2" fillId="3" borderId="0" xfId="0" applyNumberFormat="1" applyFont="1" applyFill="1" applyAlignment="1">
      <alignment horizontal="right" wrapText="1"/>
    </xf>
    <xf numFmtId="3" fontId="0" fillId="4" borderId="0" xfId="0" applyNumberFormat="1" applyFont="1" applyFill="1" applyAlignment="1">
      <alignment horizontal="right" wrapText="1"/>
    </xf>
    <xf numFmtId="165" fontId="2" fillId="3" borderId="0" xfId="1" applyNumberFormat="1" applyFont="1" applyFill="1" applyBorder="1" applyAlignment="1" applyProtection="1">
      <alignment horizontal="right" wrapText="1"/>
    </xf>
    <xf numFmtId="165" fontId="2" fillId="4" borderId="0" xfId="1" applyNumberFormat="1" applyFont="1" applyFill="1" applyBorder="1" applyAlignment="1" applyProtection="1">
      <alignment horizontal="right" wrapText="1"/>
    </xf>
    <xf numFmtId="0" fontId="0" fillId="7" borderId="0" xfId="0" applyFill="1"/>
    <xf numFmtId="4" fontId="2" fillId="3" borderId="0" xfId="0" applyNumberFormat="1" applyFont="1" applyFill="1"/>
    <xf numFmtId="4" fontId="0" fillId="3" borderId="0" xfId="0" applyNumberFormat="1" applyFill="1"/>
    <xf numFmtId="4" fontId="0" fillId="4" borderId="0" xfId="0" applyNumberFormat="1" applyFill="1"/>
    <xf numFmtId="165" fontId="0" fillId="3" borderId="0" xfId="0" applyNumberFormat="1" applyFill="1"/>
    <xf numFmtId="0" fontId="0" fillId="3" borderId="0" xfId="0" applyFill="1"/>
    <xf numFmtId="49" fontId="6" fillId="0" borderId="0" xfId="0" applyNumberFormat="1" applyFont="1" applyAlignment="1">
      <alignment vertical="center"/>
    </xf>
    <xf numFmtId="49" fontId="6" fillId="0" borderId="0" xfId="0" applyNumberFormat="1" applyFont="1" applyAlignment="1">
      <alignment horizontal="center" vertical="center"/>
    </xf>
    <xf numFmtId="49" fontId="2" fillId="0" borderId="0" xfId="0" applyNumberFormat="1" applyFont="1" applyAlignment="1">
      <alignment horizontal="center" vertical="center"/>
    </xf>
    <xf numFmtId="49" fontId="10" fillId="0" borderId="0" xfId="0" applyNumberFormat="1" applyFont="1" applyAlignment="1">
      <alignment horizontal="center" vertical="center"/>
    </xf>
    <xf numFmtId="49" fontId="11" fillId="0" borderId="0" xfId="0" applyNumberFormat="1" applyFont="1" applyAlignment="1">
      <alignment horizontal="center" vertical="center"/>
    </xf>
    <xf numFmtId="0" fontId="14" fillId="12" borderId="0" xfId="3" applyFont="1" applyFill="1"/>
    <xf numFmtId="0" fontId="13" fillId="0" borderId="0" xfId="3"/>
    <xf numFmtId="0" fontId="13" fillId="13" borderId="0" xfId="3" applyFill="1"/>
    <xf numFmtId="172" fontId="15" fillId="0" borderId="0" xfId="3" applyNumberFormat="1" applyFont="1"/>
    <xf numFmtId="0" fontId="16" fillId="0" borderId="0" xfId="3" applyFont="1"/>
    <xf numFmtId="3" fontId="15" fillId="0" borderId="0" xfId="3" applyNumberFormat="1" applyFont="1"/>
    <xf numFmtId="3" fontId="16" fillId="0" borderId="0" xfId="3" applyNumberFormat="1" applyFont="1"/>
    <xf numFmtId="172" fontId="16" fillId="0" borderId="0" xfId="3" applyNumberFormat="1" applyFont="1" applyAlignment="1">
      <alignment horizontal="right"/>
    </xf>
    <xf numFmtId="172" fontId="16" fillId="0" borderId="0" xfId="3" applyNumberFormat="1" applyFont="1"/>
    <xf numFmtId="3" fontId="16" fillId="0" borderId="0" xfId="3" applyNumberFormat="1" applyFont="1" applyAlignment="1">
      <alignment horizontal="right"/>
    </xf>
    <xf numFmtId="166" fontId="15" fillId="0" borderId="0" xfId="3" applyNumberFormat="1" applyFont="1"/>
    <xf numFmtId="166" fontId="16" fillId="0" borderId="0" xfId="3" applyNumberFormat="1" applyFont="1"/>
    <xf numFmtId="3" fontId="15" fillId="0" borderId="0" xfId="3" applyNumberFormat="1" applyFont="1" applyAlignment="1">
      <alignment horizontal="right"/>
    </xf>
    <xf numFmtId="172" fontId="13" fillId="0" borderId="0" xfId="3" applyNumberFormat="1"/>
    <xf numFmtId="172" fontId="17" fillId="0" borderId="0" xfId="3" applyNumberFormat="1" applyFont="1"/>
    <xf numFmtId="0" fontId="18" fillId="0" borderId="0" xfId="3" applyFont="1"/>
    <xf numFmtId="3" fontId="13" fillId="0" borderId="0" xfId="3" applyNumberFormat="1"/>
    <xf numFmtId="3" fontId="19" fillId="0" borderId="0" xfId="3" applyNumberFormat="1" applyFont="1"/>
    <xf numFmtId="3" fontId="19" fillId="0" borderId="0" xfId="3" applyNumberFormat="1" applyFont="1" applyAlignment="1">
      <alignment horizontal="right"/>
    </xf>
    <xf numFmtId="0" fontId="0" fillId="0" borderId="0" xfId="0" applyFont="1" applyFill="1" applyBorder="1"/>
    <xf numFmtId="164" fontId="12" fillId="0" borderId="0" xfId="1"/>
    <xf numFmtId="0" fontId="0" fillId="0" borderId="0" xfId="0" applyFont="1" applyAlignment="1"/>
    <xf numFmtId="0" fontId="3" fillId="2" borderId="0" xfId="0" applyFont="1" applyFill="1" applyAlignment="1"/>
    <xf numFmtId="0" fontId="12" fillId="0" borderId="0" xfId="0" applyFont="1"/>
    <xf numFmtId="167" fontId="12" fillId="0" borderId="0" xfId="1" applyNumberFormat="1"/>
    <xf numFmtId="4" fontId="2" fillId="0" borderId="0" xfId="0" applyNumberFormat="1" applyFont="1" applyFill="1" applyAlignment="1">
      <alignment horizontal="right"/>
    </xf>
    <xf numFmtId="4" fontId="0" fillId="0" borderId="0" xfId="0" applyNumberFormat="1" applyFont="1" applyFill="1" applyAlignment="1">
      <alignment horizontal="right"/>
    </xf>
    <xf numFmtId="0" fontId="0" fillId="0" borderId="0" xfId="0" applyFont="1" applyFill="1" applyAlignment="1">
      <alignment horizontal="right"/>
    </xf>
    <xf numFmtId="3" fontId="0" fillId="0" borderId="0" xfId="0" applyNumberFormat="1" applyFont="1" applyFill="1" applyAlignment="1">
      <alignment horizontal="right" wrapText="1"/>
    </xf>
    <xf numFmtId="0" fontId="12" fillId="14" borderId="0" xfId="0" applyFont="1" applyFill="1"/>
    <xf numFmtId="0" fontId="0" fillId="0" borderId="0" xfId="0" applyAlignment="1"/>
    <xf numFmtId="0" fontId="2" fillId="0" borderId="0" xfId="0" applyFont="1" applyAlignment="1"/>
    <xf numFmtId="0" fontId="0" fillId="7" borderId="0" xfId="0" applyFont="1" applyFill="1" applyAlignment="1"/>
    <xf numFmtId="0" fontId="12" fillId="0" borderId="0" xfId="0" applyFont="1" applyAlignment="1"/>
    <xf numFmtId="0" fontId="0" fillId="14" borderId="0" xfId="0" applyFill="1"/>
    <xf numFmtId="3" fontId="0" fillId="0" borderId="0" xfId="0" applyNumberFormat="1" applyFill="1"/>
    <xf numFmtId="164" fontId="0" fillId="0" borderId="0" xfId="1" applyFont="1" applyFill="1" applyBorder="1" applyAlignment="1" applyProtection="1"/>
    <xf numFmtId="164" fontId="0" fillId="14" borderId="0" xfId="1" applyFont="1" applyFill="1" applyBorder="1" applyAlignment="1" applyProtection="1"/>
    <xf numFmtId="0" fontId="23" fillId="0" borderId="0" xfId="0" applyFont="1"/>
    <xf numFmtId="3" fontId="12" fillId="0" borderId="0" xfId="0" applyNumberFormat="1" applyFont="1"/>
    <xf numFmtId="0" fontId="20" fillId="15" borderId="0" xfId="4" applyFont="1" applyFill="1"/>
    <xf numFmtId="173" fontId="20" fillId="15" borderId="0" xfId="4" applyNumberFormat="1" applyFont="1" applyFill="1"/>
    <xf numFmtId="166" fontId="20" fillId="15" borderId="0" xfId="5" applyNumberFormat="1" applyFont="1" applyFill="1"/>
    <xf numFmtId="0" fontId="1" fillId="15" borderId="0" xfId="4" applyFill="1"/>
    <xf numFmtId="3" fontId="20" fillId="15" borderId="0" xfId="4" applyNumberFormat="1" applyFont="1" applyFill="1"/>
    <xf numFmtId="166" fontId="20" fillId="15" borderId="0" xfId="4" applyNumberFormat="1" applyFont="1" applyFill="1"/>
    <xf numFmtId="0" fontId="1" fillId="0" borderId="0" xfId="4" applyFill="1"/>
    <xf numFmtId="3" fontId="1" fillId="0" borderId="0" xfId="4" applyNumberFormat="1" applyFill="1"/>
    <xf numFmtId="174" fontId="0" fillId="0" borderId="0" xfId="6" applyFont="1" applyFill="1"/>
    <xf numFmtId="166" fontId="0" fillId="0" borderId="0" xfId="5" applyNumberFormat="1" applyFont="1" applyFill="1"/>
    <xf numFmtId="3" fontId="1" fillId="0" borderId="0" xfId="4" applyNumberFormat="1" applyFill="1" applyAlignment="1">
      <alignment horizontal="right"/>
    </xf>
    <xf numFmtId="4" fontId="1" fillId="0" borderId="0" xfId="4" applyNumberFormat="1" applyFill="1" applyAlignment="1">
      <alignment horizontal="right"/>
    </xf>
    <xf numFmtId="0" fontId="1" fillId="0" borderId="0" xfId="4"/>
    <xf numFmtId="0" fontId="1" fillId="16" borderId="0" xfId="4" applyFill="1" applyAlignment="1">
      <alignment horizontal="right"/>
    </xf>
    <xf numFmtId="174" fontId="0" fillId="0" borderId="0" xfId="6" applyFont="1" applyFill="1" applyAlignment="1">
      <alignment horizontal="right"/>
    </xf>
    <xf numFmtId="0" fontId="1" fillId="0" borderId="0" xfId="4" applyFill="1" applyAlignment="1">
      <alignment horizontal="right"/>
    </xf>
    <xf numFmtId="0" fontId="20" fillId="0" borderId="5" xfId="4" applyFont="1" applyBorder="1"/>
    <xf numFmtId="3" fontId="20" fillId="0" borderId="5" xfId="4" applyNumberFormat="1" applyFont="1" applyBorder="1"/>
    <xf numFmtId="166" fontId="20" fillId="0" borderId="5" xfId="5" applyNumberFormat="1" applyFont="1" applyBorder="1"/>
    <xf numFmtId="166" fontId="20" fillId="0" borderId="5" xfId="4" applyNumberFormat="1" applyFont="1" applyBorder="1"/>
    <xf numFmtId="0" fontId="1" fillId="0" borderId="0" xfId="4" applyFont="1" applyBorder="1"/>
    <xf numFmtId="3" fontId="1" fillId="0" borderId="0" xfId="4" applyNumberFormat="1" applyFont="1" applyBorder="1"/>
    <xf numFmtId="166" fontId="1" fillId="0" borderId="0" xfId="5" applyNumberFormat="1" applyFont="1" applyBorder="1"/>
    <xf numFmtId="166" fontId="1" fillId="0" borderId="0" xfId="4" applyNumberFormat="1" applyFont="1" applyBorder="1"/>
    <xf numFmtId="0" fontId="1" fillId="0" borderId="0" xfId="4" applyFont="1" applyFill="1" applyBorder="1"/>
    <xf numFmtId="0" fontId="25" fillId="0" borderId="0" xfId="7" applyFont="1"/>
    <xf numFmtId="0" fontId="1" fillId="0" borderId="0" xfId="4" applyAlignment="1">
      <alignment horizontal="right"/>
    </xf>
    <xf numFmtId="174" fontId="0" fillId="0" borderId="0" xfId="6" applyFont="1"/>
    <xf numFmtId="166" fontId="0" fillId="0" borderId="0" xfId="5" applyNumberFormat="1" applyFont="1"/>
    <xf numFmtId="3" fontId="1" fillId="0" borderId="0" xfId="4" applyNumberFormat="1"/>
    <xf numFmtId="0" fontId="25" fillId="0" borderId="0" xfId="4" applyFont="1" applyFill="1"/>
    <xf numFmtId="10" fontId="0" fillId="0" borderId="0" xfId="5" applyNumberFormat="1" applyFont="1"/>
    <xf numFmtId="10" fontId="0" fillId="0" borderId="0" xfId="5" applyNumberFormat="1" applyFont="1" applyAlignment="1">
      <alignment horizontal="right"/>
    </xf>
    <xf numFmtId="4" fontId="1" fillId="0" borderId="0" xfId="4" applyNumberFormat="1" applyAlignment="1">
      <alignment horizontal="right"/>
    </xf>
    <xf numFmtId="174" fontId="0" fillId="0" borderId="0" xfId="6" applyFont="1" applyAlignment="1">
      <alignment horizontal="right"/>
    </xf>
    <xf numFmtId="0" fontId="26" fillId="17" borderId="0" xfId="7" applyFont="1" applyFill="1"/>
    <xf numFmtId="0" fontId="1" fillId="17" borderId="0" xfId="4" applyFill="1"/>
    <xf numFmtId="4" fontId="1" fillId="17" borderId="0" xfId="4" applyNumberFormat="1" applyFill="1" applyAlignment="1">
      <alignment horizontal="right"/>
    </xf>
    <xf numFmtId="174" fontId="0" fillId="17" borderId="0" xfId="6" applyFont="1" applyFill="1"/>
    <xf numFmtId="166" fontId="0" fillId="17" borderId="0" xfId="5" applyNumberFormat="1" applyFont="1" applyFill="1"/>
    <xf numFmtId="3" fontId="1" fillId="17" borderId="0" xfId="4" applyNumberFormat="1" applyFill="1"/>
    <xf numFmtId="10" fontId="0" fillId="17" borderId="0" xfId="5" applyNumberFormat="1" applyFont="1" applyFill="1"/>
    <xf numFmtId="10" fontId="0" fillId="17" borderId="0" xfId="5" applyNumberFormat="1" applyFont="1" applyFill="1" applyAlignment="1">
      <alignment horizontal="right"/>
    </xf>
    <xf numFmtId="4" fontId="1" fillId="0" borderId="0" xfId="4" applyNumberFormat="1"/>
    <xf numFmtId="174" fontId="0" fillId="14" borderId="0" xfId="6" applyFont="1" applyFill="1" applyAlignment="1">
      <alignment horizontal="right"/>
    </xf>
    <xf numFmtId="10" fontId="0" fillId="14" borderId="0" xfId="5" applyNumberFormat="1" applyFont="1" applyFill="1"/>
    <xf numFmtId="4" fontId="1" fillId="17" borderId="0" xfId="4" applyNumberFormat="1" applyFill="1"/>
    <xf numFmtId="0" fontId="1" fillId="17" borderId="0" xfId="4" applyFill="1" applyAlignment="1">
      <alignment horizontal="right"/>
    </xf>
    <xf numFmtId="10" fontId="0" fillId="16" borderId="0" xfId="5" applyNumberFormat="1" applyFont="1" applyFill="1" applyAlignment="1"/>
    <xf numFmtId="0" fontId="25" fillId="0" borderId="0" xfId="4" applyFont="1" applyFill="1" applyBorder="1"/>
    <xf numFmtId="0" fontId="1" fillId="0" borderId="0" xfId="4" applyFill="1" applyBorder="1"/>
    <xf numFmtId="4" fontId="1" fillId="0" borderId="0" xfId="4" applyNumberFormat="1" applyBorder="1" applyAlignment="1">
      <alignment horizontal="right"/>
    </xf>
    <xf numFmtId="174" fontId="0" fillId="0" borderId="0" xfId="6" applyFont="1" applyBorder="1"/>
    <xf numFmtId="166" fontId="0" fillId="0" borderId="0" xfId="5" applyNumberFormat="1" applyFont="1" applyBorder="1"/>
    <xf numFmtId="3" fontId="1" fillId="0" borderId="0" xfId="4" applyNumberFormat="1" applyBorder="1"/>
    <xf numFmtId="10" fontId="0" fillId="0" borderId="0" xfId="5" applyNumberFormat="1" applyFont="1" applyBorder="1"/>
    <xf numFmtId="10" fontId="0" fillId="0" borderId="0" xfId="5" applyNumberFormat="1" applyFont="1" applyBorder="1" applyAlignment="1">
      <alignment horizontal="right"/>
    </xf>
    <xf numFmtId="0" fontId="1" fillId="0" borderId="0" xfId="4" applyBorder="1"/>
    <xf numFmtId="0" fontId="26" fillId="17" borderId="0" xfId="7" applyFont="1" applyFill="1" applyBorder="1"/>
    <xf numFmtId="0" fontId="1" fillId="17" borderId="0" xfId="4" applyFill="1" applyBorder="1"/>
    <xf numFmtId="4" fontId="1" fillId="17" borderId="0" xfId="4" applyNumberFormat="1" applyFill="1" applyBorder="1" applyAlignment="1">
      <alignment horizontal="right"/>
    </xf>
    <xf numFmtId="174" fontId="0" fillId="17" borderId="0" xfId="6" applyFont="1" applyFill="1" applyBorder="1"/>
    <xf numFmtId="166" fontId="0" fillId="17" borderId="0" xfId="5" applyNumberFormat="1" applyFont="1" applyFill="1" applyBorder="1"/>
    <xf numFmtId="4" fontId="1" fillId="17" borderId="0" xfId="4" applyNumberFormat="1" applyFill="1" applyBorder="1"/>
    <xf numFmtId="3" fontId="1" fillId="17" borderId="0" xfId="4" applyNumberFormat="1" applyFill="1" applyBorder="1"/>
    <xf numFmtId="10" fontId="0" fillId="17" borderId="0" xfId="5" applyNumberFormat="1" applyFont="1" applyFill="1" applyBorder="1"/>
    <xf numFmtId="10" fontId="0" fillId="17" borderId="0" xfId="5" applyNumberFormat="1" applyFont="1" applyFill="1" applyBorder="1" applyAlignment="1">
      <alignment horizontal="right"/>
    </xf>
    <xf numFmtId="4" fontId="1" fillId="0" borderId="0" xfId="4" applyNumberFormat="1" applyBorder="1"/>
    <xf numFmtId="0" fontId="25" fillId="0" borderId="0" xfId="7" applyFont="1" applyBorder="1"/>
    <xf numFmtId="0" fontId="1" fillId="0" borderId="0" xfId="6" applyNumberFormat="1" applyFont="1" applyBorder="1"/>
    <xf numFmtId="0" fontId="20" fillId="0" borderId="0" xfId="4" applyFont="1" applyBorder="1"/>
    <xf numFmtId="0" fontId="24" fillId="17" borderId="0" xfId="7" applyFill="1" applyBorder="1"/>
    <xf numFmtId="0" fontId="1" fillId="17" borderId="0" xfId="4" applyFill="1" applyBorder="1" applyAlignment="1">
      <alignment horizontal="right"/>
    </xf>
    <xf numFmtId="0" fontId="20" fillId="0" borderId="5" xfId="4" applyFont="1" applyFill="1" applyBorder="1"/>
    <xf numFmtId="174" fontId="1" fillId="0" borderId="5" xfId="6" applyFont="1" applyBorder="1"/>
    <xf numFmtId="166" fontId="1" fillId="0" borderId="5" xfId="5" applyNumberFormat="1" applyFont="1" applyBorder="1"/>
    <xf numFmtId="174" fontId="20" fillId="0" borderId="5" xfId="6" applyFont="1" applyBorder="1"/>
    <xf numFmtId="9" fontId="20" fillId="0" borderId="5" xfId="5" applyFont="1" applyBorder="1"/>
    <xf numFmtId="0" fontId="1" fillId="0" borderId="5" xfId="4" applyBorder="1"/>
    <xf numFmtId="173" fontId="1" fillId="0" borderId="0" xfId="4" applyNumberFormat="1"/>
    <xf numFmtId="9" fontId="1" fillId="0" borderId="0" xfId="4" applyNumberFormat="1"/>
    <xf numFmtId="174" fontId="1" fillId="0" borderId="0" xfId="4" applyNumberFormat="1"/>
    <xf numFmtId="43" fontId="1" fillId="0" borderId="0" xfId="4" applyNumberFormat="1"/>
    <xf numFmtId="165" fontId="12" fillId="0" borderId="0" xfId="1" applyNumberFormat="1"/>
    <xf numFmtId="167" fontId="12" fillId="0" borderId="0" xfId="1" applyNumberFormat="1" applyBorder="1" applyAlignment="1" applyProtection="1">
      <alignment horizontal="left"/>
    </xf>
    <xf numFmtId="165" fontId="2" fillId="14" borderId="0" xfId="1" applyNumberFormat="1" applyFont="1" applyFill="1" applyBorder="1" applyAlignment="1" applyProtection="1">
      <alignment horizontal="right" wrapText="1"/>
    </xf>
  </cellXfs>
  <cellStyles count="8">
    <cellStyle name="Komma 2" xfId="6"/>
    <cellStyle name="Link 2" xfId="7"/>
    <cellStyle name="Prozent" xfId="1" builtinId="5"/>
    <cellStyle name="Prozent 2" xfId="5"/>
    <cellStyle name="Standard" xfId="0" builtinId="0"/>
    <cellStyle name="Standard 2" xfId="2"/>
    <cellStyle name="Standard 3" xfId="3"/>
    <cellStyle name="Standard 4" xfId="4"/>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9D9D9"/>
      <rgbColor rgb="FF878787"/>
      <rgbColor rgb="FF9999FF"/>
      <rgbColor rgb="FFBE4B48"/>
      <rgbColor rgb="FFFFFFD7"/>
      <rgbColor rgb="FFDCE6F2"/>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F2F2F2"/>
      <rgbColor rgb="FFCCFFCC"/>
      <rgbColor rgb="FFF7D1D5"/>
      <rgbColor rgb="FF95B3D7"/>
      <rgbColor rgb="FFFFA6A6"/>
      <rgbColor rgb="FFCC99FF"/>
      <rgbColor rgb="FFFFDBB6"/>
      <rgbColor rgb="FF4A7EBB"/>
      <rgbColor rgb="FF46AAC4"/>
      <rgbColor rgb="FF98B855"/>
      <rgbColor rgb="FFFFC000"/>
      <rgbColor rgb="FFFF8000"/>
      <rgbColor rgb="FFFF6600"/>
      <rgbColor rgb="FF7D5FA0"/>
      <rgbColor rgb="FF969696"/>
      <rgbColor rgb="FF003366"/>
      <rgbColor rgb="FF4F81BD"/>
      <rgbColor rgb="FF003300"/>
      <rgbColor rgb="FF333300"/>
      <rgbColor rgb="FF993300"/>
      <rgbColor rgb="FF993366"/>
      <rgbColor rgb="FF1F497D"/>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c:style val="2"/>
  <c:chart>
    <c:autoTitleDeleted val="1"/>
    <c:plotArea>
      <c:layout/>
      <c:lineChart>
        <c:grouping val="standard"/>
        <c:varyColors val="0"/>
        <c:ser>
          <c:idx val="0"/>
          <c:order val="0"/>
          <c:tx>
            <c:strRef>
              <c:f>G1_Gewinnanteil!$A$2:$A$2</c:f>
              <c:strCache>
                <c:ptCount val="1"/>
                <c:pt idx="0">
                  <c:v>Apple</c:v>
                </c:pt>
              </c:strCache>
            </c:strRef>
          </c:tx>
          <c:spPr>
            <a:ln w="28440">
              <a:solidFill>
                <a:srgbClr val="4A7EBB"/>
              </a:solidFill>
              <a:round/>
            </a:ln>
          </c:spPr>
          <c:marker>
            <c:symbol val="none"/>
          </c:marker>
          <c:dLbls>
            <c:spPr>
              <a:noFill/>
              <a:ln>
                <a:noFill/>
              </a:ln>
              <a:effectLst/>
            </c:spPr>
            <c:txPr>
              <a:bodyPr/>
              <a:lstStyle/>
              <a:p>
                <a:pPr>
                  <a:defRPr sz="1000" b="0" strike="noStrike" spc="-1">
                    <a:solidFill>
                      <a:srgbClr val="000000"/>
                    </a:solidFill>
                    <a:latin typeface="Calibri"/>
                  </a:defRPr>
                </a:pPr>
                <a:endParaRPr lang="de-DE"/>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G1_Gewinnanteil!$B$1:$F$1</c:f>
              <c:strCache>
                <c:ptCount val="5"/>
                <c:pt idx="0">
                  <c:v>2016</c:v>
                </c:pt>
                <c:pt idx="1">
                  <c:v>2017</c:v>
                </c:pt>
                <c:pt idx="2">
                  <c:v>2018</c:v>
                </c:pt>
                <c:pt idx="3">
                  <c:v>2019</c:v>
                </c:pt>
                <c:pt idx="4">
                  <c:v>2020</c:v>
                </c:pt>
              </c:strCache>
            </c:strRef>
          </c:cat>
          <c:val>
            <c:numRef>
              <c:f>G1_Gewinnanteil!$B$2:$F$2</c:f>
              <c:numCache>
                <c:formatCode>0\ %</c:formatCode>
                <c:ptCount val="5"/>
                <c:pt idx="0">
                  <c:v>0</c:v>
                </c:pt>
                <c:pt idx="1">
                  <c:v>0</c:v>
                </c:pt>
                <c:pt idx="2">
                  <c:v>0</c:v>
                </c:pt>
                <c:pt idx="3">
                  <c:v>0</c:v>
                </c:pt>
                <c:pt idx="4">
                  <c:v>0</c:v>
                </c:pt>
              </c:numCache>
            </c:numRef>
          </c:val>
          <c:smooth val="0"/>
        </c:ser>
        <c:ser>
          <c:idx val="1"/>
          <c:order val="1"/>
          <c:tx>
            <c:strRef>
              <c:f>G1_Gewinnanteil!$A$3:$A$3</c:f>
              <c:strCache>
                <c:ptCount val="1"/>
                <c:pt idx="0">
                  <c:v>Facebook</c:v>
                </c:pt>
              </c:strCache>
            </c:strRef>
          </c:tx>
          <c:spPr>
            <a:ln w="28440">
              <a:solidFill>
                <a:srgbClr val="BE4B48"/>
              </a:solidFill>
              <a:round/>
            </a:ln>
          </c:spPr>
          <c:marker>
            <c:symbol val="none"/>
          </c:marker>
          <c:dLbls>
            <c:spPr>
              <a:noFill/>
              <a:ln>
                <a:noFill/>
              </a:ln>
              <a:effectLst/>
            </c:spPr>
            <c:txPr>
              <a:bodyPr/>
              <a:lstStyle/>
              <a:p>
                <a:pPr>
                  <a:defRPr sz="1000" b="0" strike="noStrike" spc="-1">
                    <a:solidFill>
                      <a:srgbClr val="000000"/>
                    </a:solidFill>
                    <a:latin typeface="Calibri"/>
                  </a:defRPr>
                </a:pPr>
                <a:endParaRPr lang="de-DE"/>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G1_Gewinnanteil!$B$1:$F$1</c:f>
              <c:strCache>
                <c:ptCount val="5"/>
                <c:pt idx="0">
                  <c:v>2016</c:v>
                </c:pt>
                <c:pt idx="1">
                  <c:v>2017</c:v>
                </c:pt>
                <c:pt idx="2">
                  <c:v>2018</c:v>
                </c:pt>
                <c:pt idx="3">
                  <c:v>2019</c:v>
                </c:pt>
                <c:pt idx="4">
                  <c:v>2020</c:v>
                </c:pt>
              </c:strCache>
            </c:strRef>
          </c:cat>
          <c:val>
            <c:numRef>
              <c:f>G1_Gewinnanteil!$B$3:$F$3</c:f>
              <c:numCache>
                <c:formatCode>0\ %</c:formatCode>
                <c:ptCount val="5"/>
                <c:pt idx="0">
                  <c:v>0</c:v>
                </c:pt>
                <c:pt idx="1">
                  <c:v>0</c:v>
                </c:pt>
                <c:pt idx="2">
                  <c:v>0</c:v>
                </c:pt>
                <c:pt idx="3">
                  <c:v>0</c:v>
                </c:pt>
                <c:pt idx="4">
                  <c:v>0</c:v>
                </c:pt>
              </c:numCache>
            </c:numRef>
          </c:val>
          <c:smooth val="0"/>
        </c:ser>
        <c:ser>
          <c:idx val="2"/>
          <c:order val="2"/>
          <c:tx>
            <c:strRef>
              <c:f>G1_Gewinnanteil!$A$4:$A$4</c:f>
              <c:strCache>
                <c:ptCount val="1"/>
                <c:pt idx="0">
                  <c:v>Google</c:v>
                </c:pt>
              </c:strCache>
            </c:strRef>
          </c:tx>
          <c:spPr>
            <a:ln w="28440">
              <a:solidFill>
                <a:srgbClr val="98B855"/>
              </a:solidFill>
              <a:round/>
            </a:ln>
          </c:spPr>
          <c:marker>
            <c:symbol val="none"/>
          </c:marker>
          <c:dLbls>
            <c:spPr>
              <a:noFill/>
              <a:ln>
                <a:noFill/>
              </a:ln>
              <a:effectLst/>
            </c:spPr>
            <c:txPr>
              <a:bodyPr/>
              <a:lstStyle/>
              <a:p>
                <a:pPr>
                  <a:defRPr sz="1000" b="0" strike="noStrike" spc="-1">
                    <a:solidFill>
                      <a:srgbClr val="000000"/>
                    </a:solidFill>
                    <a:latin typeface="Calibri"/>
                  </a:defRPr>
                </a:pPr>
                <a:endParaRPr lang="de-DE"/>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G1_Gewinnanteil!$B$1:$F$1</c:f>
              <c:strCache>
                <c:ptCount val="5"/>
                <c:pt idx="0">
                  <c:v>2016</c:v>
                </c:pt>
                <c:pt idx="1">
                  <c:v>2017</c:v>
                </c:pt>
                <c:pt idx="2">
                  <c:v>2018</c:v>
                </c:pt>
                <c:pt idx="3">
                  <c:v>2019</c:v>
                </c:pt>
                <c:pt idx="4">
                  <c:v>2020</c:v>
                </c:pt>
              </c:strCache>
            </c:strRef>
          </c:cat>
          <c:val>
            <c:numRef>
              <c:f>G1_Gewinnanteil!$B$4:$F$4</c:f>
              <c:numCache>
                <c:formatCode>0\ %</c:formatCode>
                <c:ptCount val="5"/>
                <c:pt idx="0">
                  <c:v>0</c:v>
                </c:pt>
                <c:pt idx="1">
                  <c:v>0</c:v>
                </c:pt>
                <c:pt idx="2">
                  <c:v>0</c:v>
                </c:pt>
                <c:pt idx="3">
                  <c:v>0</c:v>
                </c:pt>
                <c:pt idx="4">
                  <c:v>0</c:v>
                </c:pt>
              </c:numCache>
            </c:numRef>
          </c:val>
          <c:smooth val="0"/>
        </c:ser>
        <c:ser>
          <c:idx val="3"/>
          <c:order val="3"/>
          <c:tx>
            <c:strRef>
              <c:f>G1_Gewinnanteil!$A$5:$A$5</c:f>
              <c:strCache>
                <c:ptCount val="1"/>
                <c:pt idx="0">
                  <c:v>Microsoft</c:v>
                </c:pt>
              </c:strCache>
            </c:strRef>
          </c:tx>
          <c:spPr>
            <a:ln w="28440">
              <a:solidFill>
                <a:srgbClr val="7D5FA0"/>
              </a:solidFill>
              <a:round/>
            </a:ln>
          </c:spPr>
          <c:marker>
            <c:symbol val="none"/>
          </c:marker>
          <c:dLbls>
            <c:spPr>
              <a:noFill/>
              <a:ln>
                <a:noFill/>
              </a:ln>
              <a:effectLst/>
            </c:spPr>
            <c:txPr>
              <a:bodyPr/>
              <a:lstStyle/>
              <a:p>
                <a:pPr>
                  <a:defRPr sz="1000" b="0" strike="noStrike" spc="-1">
                    <a:solidFill>
                      <a:srgbClr val="000000"/>
                    </a:solidFill>
                    <a:latin typeface="Calibri"/>
                  </a:defRPr>
                </a:pPr>
                <a:endParaRPr lang="de-DE"/>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G1_Gewinnanteil!$B$1:$F$1</c:f>
              <c:strCache>
                <c:ptCount val="5"/>
                <c:pt idx="0">
                  <c:v>2016</c:v>
                </c:pt>
                <c:pt idx="1">
                  <c:v>2017</c:v>
                </c:pt>
                <c:pt idx="2">
                  <c:v>2018</c:v>
                </c:pt>
                <c:pt idx="3">
                  <c:v>2019</c:v>
                </c:pt>
                <c:pt idx="4">
                  <c:v>2020</c:v>
                </c:pt>
              </c:strCache>
            </c:strRef>
          </c:cat>
          <c:val>
            <c:numRef>
              <c:f>G1_Gewinnanteil!$B$5:$F$5</c:f>
              <c:numCache>
                <c:formatCode>0\ %</c:formatCode>
                <c:ptCount val="5"/>
                <c:pt idx="0">
                  <c:v>0</c:v>
                </c:pt>
                <c:pt idx="1">
                  <c:v>0</c:v>
                </c:pt>
                <c:pt idx="2">
                  <c:v>0</c:v>
                </c:pt>
                <c:pt idx="3">
                  <c:v>0</c:v>
                </c:pt>
                <c:pt idx="4">
                  <c:v>0</c:v>
                </c:pt>
              </c:numCache>
            </c:numRef>
          </c:val>
          <c:smooth val="0"/>
        </c:ser>
        <c:ser>
          <c:idx val="4"/>
          <c:order val="4"/>
          <c:tx>
            <c:strRef>
              <c:f>G1_Gewinnanteil!$A$6:$A$6</c:f>
              <c:strCache>
                <c:ptCount val="1"/>
                <c:pt idx="0">
                  <c:v>Durchschnitt</c:v>
                </c:pt>
              </c:strCache>
            </c:strRef>
          </c:tx>
          <c:spPr>
            <a:ln w="28440">
              <a:solidFill>
                <a:srgbClr val="46AAC4"/>
              </a:solidFill>
              <a:round/>
            </a:ln>
          </c:spPr>
          <c:marker>
            <c:symbol val="none"/>
          </c:marker>
          <c:dLbls>
            <c:spPr>
              <a:noFill/>
              <a:ln>
                <a:noFill/>
              </a:ln>
              <a:effectLst/>
            </c:spPr>
            <c:txPr>
              <a:bodyPr/>
              <a:lstStyle/>
              <a:p>
                <a:pPr>
                  <a:defRPr sz="1000" b="0" strike="noStrike" spc="-1">
                    <a:solidFill>
                      <a:srgbClr val="000000"/>
                    </a:solidFill>
                    <a:latin typeface="Calibri"/>
                  </a:defRPr>
                </a:pPr>
                <a:endParaRPr lang="de-DE"/>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G1_Gewinnanteil!$B$1:$F$1</c:f>
              <c:strCache>
                <c:ptCount val="5"/>
                <c:pt idx="0">
                  <c:v>2016</c:v>
                </c:pt>
                <c:pt idx="1">
                  <c:v>2017</c:v>
                </c:pt>
                <c:pt idx="2">
                  <c:v>2018</c:v>
                </c:pt>
                <c:pt idx="3">
                  <c:v>2019</c:v>
                </c:pt>
                <c:pt idx="4">
                  <c:v>2020</c:v>
                </c:pt>
              </c:strCache>
            </c:strRef>
          </c:cat>
          <c:val>
            <c:numRef>
              <c:f>G1_Gewinnanteil!$B$6:$F$6</c:f>
              <c:numCache>
                <c:formatCode>0\ %</c:formatCode>
                <c:ptCount val="5"/>
                <c:pt idx="0">
                  <c:v>0</c:v>
                </c:pt>
                <c:pt idx="1">
                  <c:v>0</c:v>
                </c:pt>
                <c:pt idx="2">
                  <c:v>0</c:v>
                </c:pt>
                <c:pt idx="3">
                  <c:v>0</c:v>
                </c:pt>
                <c:pt idx="4">
                  <c:v>0</c:v>
                </c:pt>
              </c:numCache>
            </c:numRef>
          </c:val>
          <c:smooth val="0"/>
        </c:ser>
        <c:dLbls>
          <c:showLegendKey val="0"/>
          <c:showVal val="0"/>
          <c:showCatName val="0"/>
          <c:showSerName val="0"/>
          <c:showPercent val="0"/>
          <c:showBubbleSize val="0"/>
        </c:dLbls>
        <c:hiLowLines>
          <c:spPr>
            <a:ln>
              <a:noFill/>
            </a:ln>
          </c:spPr>
        </c:hiLowLines>
        <c:smooth val="0"/>
        <c:axId val="389349824"/>
        <c:axId val="389350216"/>
      </c:lineChart>
      <c:catAx>
        <c:axId val="389349824"/>
        <c:scaling>
          <c:orientation val="minMax"/>
        </c:scaling>
        <c:delete val="0"/>
        <c:axPos val="b"/>
        <c:numFmt formatCode="General" sourceLinked="1"/>
        <c:majorTickMark val="out"/>
        <c:minorTickMark val="none"/>
        <c:tickLblPos val="nextTo"/>
        <c:spPr>
          <a:ln w="9360">
            <a:solidFill>
              <a:srgbClr val="878787"/>
            </a:solidFill>
            <a:round/>
          </a:ln>
        </c:spPr>
        <c:txPr>
          <a:bodyPr/>
          <a:lstStyle/>
          <a:p>
            <a:pPr>
              <a:defRPr sz="1000" b="0" strike="noStrike" spc="-1">
                <a:solidFill>
                  <a:srgbClr val="000000"/>
                </a:solidFill>
                <a:latin typeface="Calibri"/>
              </a:defRPr>
            </a:pPr>
            <a:endParaRPr lang="de-DE"/>
          </a:p>
        </c:txPr>
        <c:crossAx val="389350216"/>
        <c:crosses val="autoZero"/>
        <c:auto val="1"/>
        <c:lblAlgn val="ctr"/>
        <c:lblOffset val="100"/>
        <c:noMultiLvlLbl val="0"/>
      </c:catAx>
      <c:valAx>
        <c:axId val="389350216"/>
        <c:scaling>
          <c:orientation val="minMax"/>
        </c:scaling>
        <c:delete val="0"/>
        <c:axPos val="l"/>
        <c:majorGridlines>
          <c:spPr>
            <a:ln w="9360">
              <a:solidFill>
                <a:srgbClr val="878787"/>
              </a:solidFill>
              <a:round/>
            </a:ln>
          </c:spPr>
        </c:majorGridlines>
        <c:numFmt formatCode="0\ %" sourceLinked="0"/>
        <c:majorTickMark val="out"/>
        <c:minorTickMark val="none"/>
        <c:tickLblPos val="nextTo"/>
        <c:spPr>
          <a:ln w="9360">
            <a:solidFill>
              <a:srgbClr val="878787"/>
            </a:solidFill>
            <a:round/>
          </a:ln>
        </c:spPr>
        <c:txPr>
          <a:bodyPr/>
          <a:lstStyle/>
          <a:p>
            <a:pPr>
              <a:defRPr sz="1000" b="0" strike="noStrike" spc="-1">
                <a:solidFill>
                  <a:srgbClr val="000000"/>
                </a:solidFill>
                <a:latin typeface="Calibri"/>
              </a:defRPr>
            </a:pPr>
            <a:endParaRPr lang="de-DE"/>
          </a:p>
        </c:txPr>
        <c:crossAx val="389349824"/>
        <c:crosses val="autoZero"/>
        <c:crossBetween val="between"/>
      </c:valAx>
      <c:spPr>
        <a:solidFill>
          <a:srgbClr val="FFFFFF"/>
        </a:solidFill>
        <a:ln>
          <a:noFill/>
        </a:ln>
      </c:spPr>
    </c:plotArea>
    <c:legend>
      <c:legendPos val="r"/>
      <c:overlay val="0"/>
      <c:spPr>
        <a:noFill/>
        <a:ln>
          <a:noFill/>
        </a:ln>
      </c:spPr>
      <c:txPr>
        <a:bodyPr/>
        <a:lstStyle/>
        <a:p>
          <a:pPr>
            <a:defRPr sz="1000" b="0" strike="noStrike" spc="-1">
              <a:solidFill>
                <a:srgbClr val="000000"/>
              </a:solidFill>
              <a:latin typeface="Calibri"/>
            </a:defRPr>
          </a:pPr>
          <a:endParaRPr lang="de-DE"/>
        </a:p>
      </c:txPr>
    </c:legend>
    <c:plotVisOnly val="1"/>
    <c:dispBlanksAs val="gap"/>
    <c:showDLblsOverMax val="1"/>
  </c:chart>
  <c:spPr>
    <a:solidFill>
      <a:srgbClr val="FFFFFF"/>
    </a:solidFill>
    <a:ln w="9360">
      <a:solidFill>
        <a:srgbClr val="D9D9D9"/>
      </a:solidFill>
      <a:round/>
    </a:ln>
  </c:spPr>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0</xdr:row>
      <xdr:rowOff>0</xdr:rowOff>
    </xdr:from>
    <xdr:to>
      <xdr:col>20</xdr:col>
      <xdr:colOff>457800</xdr:colOff>
      <xdr:row>18</xdr:row>
      <xdr:rowOff>183219</xdr:rowOff>
    </xdr:to>
    <xdr:pic>
      <xdr:nvPicPr>
        <xdr:cNvPr id="2" name="Grafik 1"/>
        <xdr:cNvPicPr>
          <a:picLocks noChangeAspect="1"/>
        </xdr:cNvPicPr>
      </xdr:nvPicPr>
      <xdr:blipFill>
        <a:blip xmlns:r="http://schemas.openxmlformats.org/officeDocument/2006/relationships" r:embed="rId1"/>
        <a:stretch>
          <a:fillRect/>
        </a:stretch>
      </xdr:blipFill>
      <xdr:spPr>
        <a:xfrm>
          <a:off x="14051280" y="0"/>
          <a:ext cx="6927180" cy="3917019"/>
        </a:xfrm>
        <a:prstGeom prst="rect">
          <a:avLst/>
        </a:prstGeom>
      </xdr:spPr>
    </xdr:pic>
    <xdr:clientData/>
  </xdr:twoCellAnchor>
  <xdr:twoCellAnchor editAs="oneCell">
    <xdr:from>
      <xdr:col>10</xdr:col>
      <xdr:colOff>0</xdr:colOff>
      <xdr:row>5</xdr:row>
      <xdr:rowOff>0</xdr:rowOff>
    </xdr:from>
    <xdr:to>
      <xdr:col>18</xdr:col>
      <xdr:colOff>556844</xdr:colOff>
      <xdr:row>16</xdr:row>
      <xdr:rowOff>160215</xdr:rowOff>
    </xdr:to>
    <xdr:pic>
      <xdr:nvPicPr>
        <xdr:cNvPr id="3" name="Grafik 2"/>
        <xdr:cNvPicPr>
          <a:picLocks noChangeAspect="1"/>
        </xdr:cNvPicPr>
      </xdr:nvPicPr>
      <xdr:blipFill>
        <a:blip xmlns:r="http://schemas.openxmlformats.org/officeDocument/2006/relationships" r:embed="rId2"/>
        <a:stretch>
          <a:fillRect/>
        </a:stretch>
      </xdr:blipFill>
      <xdr:spPr>
        <a:xfrm>
          <a:off x="13144500" y="1272540"/>
          <a:ext cx="6744284" cy="2255715"/>
        </a:xfrm>
        <a:prstGeom prst="rect">
          <a:avLst/>
        </a:prstGeom>
      </xdr:spPr>
    </xdr:pic>
    <xdr:clientData/>
  </xdr:twoCellAnchor>
  <xdr:twoCellAnchor editAs="oneCell">
    <xdr:from>
      <xdr:col>9</xdr:col>
      <xdr:colOff>0</xdr:colOff>
      <xdr:row>16</xdr:row>
      <xdr:rowOff>0</xdr:rowOff>
    </xdr:from>
    <xdr:to>
      <xdr:col>17</xdr:col>
      <xdr:colOff>252048</xdr:colOff>
      <xdr:row>40</xdr:row>
      <xdr:rowOff>99524</xdr:rowOff>
    </xdr:to>
    <xdr:pic>
      <xdr:nvPicPr>
        <xdr:cNvPr id="4" name="Grafik 3"/>
        <xdr:cNvPicPr>
          <a:picLocks noChangeAspect="1"/>
        </xdr:cNvPicPr>
      </xdr:nvPicPr>
      <xdr:blipFill>
        <a:blip xmlns:r="http://schemas.openxmlformats.org/officeDocument/2006/relationships" r:embed="rId3"/>
        <a:stretch>
          <a:fillRect/>
        </a:stretch>
      </xdr:blipFill>
      <xdr:spPr>
        <a:xfrm>
          <a:off x="12207240" y="3368040"/>
          <a:ext cx="6782388" cy="5349704"/>
        </a:xfrm>
        <a:prstGeom prst="rect">
          <a:avLst/>
        </a:prstGeom>
      </xdr:spPr>
    </xdr:pic>
    <xdr:clientData/>
  </xdr:twoCellAnchor>
  <xdr:twoCellAnchor editAs="oneCell">
    <xdr:from>
      <xdr:col>8</xdr:col>
      <xdr:colOff>0</xdr:colOff>
      <xdr:row>31</xdr:row>
      <xdr:rowOff>0</xdr:rowOff>
    </xdr:from>
    <xdr:to>
      <xdr:col>15</xdr:col>
      <xdr:colOff>122545</xdr:colOff>
      <xdr:row>44</xdr:row>
      <xdr:rowOff>68847</xdr:rowOff>
    </xdr:to>
    <xdr:pic>
      <xdr:nvPicPr>
        <xdr:cNvPr id="5" name="Grafik 4"/>
        <xdr:cNvPicPr>
          <a:picLocks noChangeAspect="1"/>
        </xdr:cNvPicPr>
      </xdr:nvPicPr>
      <xdr:blipFill>
        <a:blip xmlns:r="http://schemas.openxmlformats.org/officeDocument/2006/relationships" r:embed="rId4"/>
        <a:stretch>
          <a:fillRect/>
        </a:stretch>
      </xdr:blipFill>
      <xdr:spPr>
        <a:xfrm>
          <a:off x="10462260" y="6179820"/>
          <a:ext cx="7209145" cy="30787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0</xdr:colOff>
      <xdr:row>0</xdr:row>
      <xdr:rowOff>0</xdr:rowOff>
    </xdr:from>
    <xdr:to>
      <xdr:col>28</xdr:col>
      <xdr:colOff>442616</xdr:colOff>
      <xdr:row>9</xdr:row>
      <xdr:rowOff>114470</xdr:rowOff>
    </xdr:to>
    <xdr:pic>
      <xdr:nvPicPr>
        <xdr:cNvPr id="2" name="Grafik 1"/>
        <xdr:cNvPicPr>
          <a:picLocks noChangeAspect="1"/>
        </xdr:cNvPicPr>
      </xdr:nvPicPr>
      <xdr:blipFill>
        <a:blip xmlns:r="http://schemas.openxmlformats.org/officeDocument/2006/relationships" r:embed="rId1"/>
        <a:stretch>
          <a:fillRect/>
        </a:stretch>
      </xdr:blipFill>
      <xdr:spPr>
        <a:xfrm>
          <a:off x="17998440" y="0"/>
          <a:ext cx="7574936" cy="1958510"/>
        </a:xfrm>
        <a:prstGeom prst="rect">
          <a:avLst/>
        </a:prstGeom>
      </xdr:spPr>
    </xdr:pic>
    <xdr:clientData/>
  </xdr:twoCellAnchor>
  <xdr:twoCellAnchor editAs="oneCell">
    <xdr:from>
      <xdr:col>16</xdr:col>
      <xdr:colOff>0</xdr:colOff>
      <xdr:row>10</xdr:row>
      <xdr:rowOff>0</xdr:rowOff>
    </xdr:from>
    <xdr:to>
      <xdr:col>28</xdr:col>
      <xdr:colOff>244479</xdr:colOff>
      <xdr:row>21</xdr:row>
      <xdr:rowOff>144974</xdr:rowOff>
    </xdr:to>
    <xdr:pic>
      <xdr:nvPicPr>
        <xdr:cNvPr id="3" name="Grafik 2"/>
        <xdr:cNvPicPr>
          <a:picLocks noChangeAspect="1"/>
        </xdr:cNvPicPr>
      </xdr:nvPicPr>
      <xdr:blipFill>
        <a:blip xmlns:r="http://schemas.openxmlformats.org/officeDocument/2006/relationships" r:embed="rId2"/>
        <a:stretch>
          <a:fillRect/>
        </a:stretch>
      </xdr:blipFill>
      <xdr:spPr>
        <a:xfrm>
          <a:off x="17998440" y="2034540"/>
          <a:ext cx="7376799" cy="22404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0</xdr:colOff>
      <xdr:row>0</xdr:row>
      <xdr:rowOff>0</xdr:rowOff>
    </xdr:from>
    <xdr:to>
      <xdr:col>27</xdr:col>
      <xdr:colOff>503530</xdr:colOff>
      <xdr:row>18</xdr:row>
      <xdr:rowOff>91740</xdr:rowOff>
    </xdr:to>
    <xdr:pic>
      <xdr:nvPicPr>
        <xdr:cNvPr id="2" name="Grafik 1"/>
        <xdr:cNvPicPr>
          <a:picLocks noChangeAspect="1"/>
        </xdr:cNvPicPr>
      </xdr:nvPicPr>
      <xdr:blipFill>
        <a:blip xmlns:r="http://schemas.openxmlformats.org/officeDocument/2006/relationships" r:embed="rId1"/>
        <a:stretch>
          <a:fillRect/>
        </a:stretch>
      </xdr:blipFill>
      <xdr:spPr>
        <a:xfrm>
          <a:off x="17084040" y="0"/>
          <a:ext cx="7041490" cy="3467400"/>
        </a:xfrm>
        <a:prstGeom prst="rect">
          <a:avLst/>
        </a:prstGeom>
      </xdr:spPr>
    </xdr:pic>
    <xdr:clientData/>
  </xdr:twoCellAnchor>
  <xdr:twoCellAnchor editAs="oneCell">
    <xdr:from>
      <xdr:col>15</xdr:col>
      <xdr:colOff>0</xdr:colOff>
      <xdr:row>17</xdr:row>
      <xdr:rowOff>0</xdr:rowOff>
    </xdr:from>
    <xdr:to>
      <xdr:col>26</xdr:col>
      <xdr:colOff>465427</xdr:colOff>
      <xdr:row>27</xdr:row>
      <xdr:rowOff>312621</xdr:rowOff>
    </xdr:to>
    <xdr:pic>
      <xdr:nvPicPr>
        <xdr:cNvPr id="3" name="Grafik 2"/>
        <xdr:cNvPicPr>
          <a:picLocks noChangeAspect="1"/>
        </xdr:cNvPicPr>
      </xdr:nvPicPr>
      <xdr:blipFill>
        <a:blip xmlns:r="http://schemas.openxmlformats.org/officeDocument/2006/relationships" r:embed="rId2"/>
        <a:stretch>
          <a:fillRect/>
        </a:stretch>
      </xdr:blipFill>
      <xdr:spPr>
        <a:xfrm>
          <a:off x="16489680" y="3185160"/>
          <a:ext cx="7003387" cy="2324301"/>
        </a:xfrm>
        <a:prstGeom prst="rect">
          <a:avLst/>
        </a:prstGeom>
      </xdr:spPr>
    </xdr:pic>
    <xdr:clientData/>
  </xdr:twoCellAnchor>
  <xdr:twoCellAnchor editAs="oneCell">
    <xdr:from>
      <xdr:col>14</xdr:col>
      <xdr:colOff>0</xdr:colOff>
      <xdr:row>29</xdr:row>
      <xdr:rowOff>0</xdr:rowOff>
    </xdr:from>
    <xdr:to>
      <xdr:col>25</xdr:col>
      <xdr:colOff>541633</xdr:colOff>
      <xdr:row>54</xdr:row>
      <xdr:rowOff>130008</xdr:rowOff>
    </xdr:to>
    <xdr:pic>
      <xdr:nvPicPr>
        <xdr:cNvPr id="4" name="Grafik 3"/>
        <xdr:cNvPicPr>
          <a:picLocks noChangeAspect="1"/>
        </xdr:cNvPicPr>
      </xdr:nvPicPr>
      <xdr:blipFill>
        <a:blip xmlns:r="http://schemas.openxmlformats.org/officeDocument/2006/relationships" r:embed="rId3"/>
        <a:stretch>
          <a:fillRect/>
        </a:stretch>
      </xdr:blipFill>
      <xdr:spPr>
        <a:xfrm>
          <a:off x="15895320" y="5745480"/>
          <a:ext cx="7079593" cy="54030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23</xdr:col>
      <xdr:colOff>267290</xdr:colOff>
      <xdr:row>21</xdr:row>
      <xdr:rowOff>167994</xdr:rowOff>
    </xdr:to>
    <xdr:pic>
      <xdr:nvPicPr>
        <xdr:cNvPr id="2" name="Grafik 1"/>
        <xdr:cNvPicPr>
          <a:picLocks noChangeAspect="1"/>
        </xdr:cNvPicPr>
      </xdr:nvPicPr>
      <xdr:blipFill>
        <a:blip xmlns:r="http://schemas.openxmlformats.org/officeDocument/2006/relationships" r:embed="rId1"/>
        <a:stretch>
          <a:fillRect/>
        </a:stretch>
      </xdr:blipFill>
      <xdr:spPr>
        <a:xfrm>
          <a:off x="12915900" y="190500"/>
          <a:ext cx="6805250" cy="40846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1741140</xdr:colOff>
      <xdr:row>0</xdr:row>
      <xdr:rowOff>0</xdr:rowOff>
    </xdr:from>
    <xdr:to>
      <xdr:col>23</xdr:col>
      <xdr:colOff>237720</xdr:colOff>
      <xdr:row>18</xdr:row>
      <xdr:rowOff>52500</xdr:rowOff>
    </xdr:to>
    <xdr:pic>
      <xdr:nvPicPr>
        <xdr:cNvPr id="2" name="Grafik 1"/>
        <xdr:cNvPicPr/>
      </xdr:nvPicPr>
      <xdr:blipFill>
        <a:blip xmlns:r="http://schemas.openxmlformats.org/officeDocument/2006/relationships" r:embed="rId1"/>
        <a:stretch/>
      </xdr:blipFill>
      <xdr:spPr>
        <a:xfrm>
          <a:off x="12782520" y="0"/>
          <a:ext cx="8867400" cy="348150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23760</xdr:colOff>
      <xdr:row>6</xdr:row>
      <xdr:rowOff>128520</xdr:rowOff>
    </xdr:from>
    <xdr:to>
      <xdr:col>6</xdr:col>
      <xdr:colOff>21600</xdr:colOff>
      <xdr:row>21</xdr:row>
      <xdr:rowOff>12240</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hristoph/Nextcloud/4.%20Inhaltliche%20Arbeit/4.1%20Unternehmenssteuern/8.%20Unternehmen%20-%20Abschl&#252;sse/221103_GAFADat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Alphabet"/>
      <sheetName val="Netflix"/>
      <sheetName val="Wechselkurse"/>
    </sheetNames>
    <sheetDataSet>
      <sheetData sheetId="0"/>
      <sheetData sheetId="1"/>
      <sheetData sheetId="2"/>
      <sheetData sheetId="3">
        <row r="11">
          <cell r="B11">
            <v>0.81535000000000002</v>
          </cell>
        </row>
        <row r="12">
          <cell r="B12">
            <v>0.87939999999999996</v>
          </cell>
        </row>
      </sheetData>
    </sheetDataSet>
  </externalBook>
</externalLink>
</file>

<file path=xl/tables/table1.xml><?xml version="1.0" encoding="utf-8"?>
<table xmlns="http://schemas.openxmlformats.org/spreadsheetml/2006/main" id="8" name="Tabelle7" displayName="Tabelle7" ref="A1:F14" totalsRowShown="0">
  <autoFilter ref="A1:F14"/>
  <tableColumns count="6">
    <tableColumn id="1" name="Spalte1"/>
    <tableColumn id="2" name="Apple"/>
    <tableColumn id="3" name="Facebook"/>
    <tableColumn id="4" name="Google"/>
    <tableColumn id="5" name="Microsoft"/>
    <tableColumn id="6" name="Gesamt"/>
  </tableColumns>
  <tableStyleInfo showFirstColumn="0" showLastColumn="0" showRowStripes="1" showColumnStripes="0"/>
</table>
</file>

<file path=xl/tables/table2.xml><?xml version="1.0" encoding="utf-8"?>
<table xmlns="http://schemas.openxmlformats.org/spreadsheetml/2006/main" id="9" name="Tabelle710" displayName="Tabelle710" ref="A18:F32" totalsRowShown="0">
  <autoFilter ref="A18:F32"/>
  <tableColumns count="6">
    <tableColumn id="1" name="Spalte1"/>
    <tableColumn id="2" name="Apple"/>
    <tableColumn id="3" name="Facebook"/>
    <tableColumn id="4" name="Google"/>
    <tableColumn id="5" name="Microsoft"/>
    <tableColumn id="6" name="Gesamt"/>
  </tableColumns>
  <tableStyleInfo showFirstColumn="0" showLastColumn="0" showRowStripes="1" showColumnStripes="0"/>
</table>
</file>

<file path=xl/tables/table3.xml><?xml version="1.0" encoding="utf-8"?>
<table xmlns="http://schemas.openxmlformats.org/spreadsheetml/2006/main" id="2" name="Tabelle10" displayName="Tabelle10" ref="A1:F16" totalsRowShown="0">
  <autoFilter ref="A1:F16"/>
  <tableColumns count="6">
    <tableColumn id="1" name="Spalte1"/>
    <tableColumn id="2" name="2016"/>
    <tableColumn id="3" name="2017"/>
    <tableColumn id="4" name="2018"/>
    <tableColumn id="5" name="2019"/>
    <tableColumn id="6" name="202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workbookViewId="0">
      <selection activeCell="A17" sqref="A17"/>
    </sheetView>
  </sheetViews>
  <sheetFormatPr baseColWidth="10" defaultRowHeight="14.4"/>
  <cols>
    <col min="1" max="1" width="24.109375" bestFit="1" customWidth="1"/>
  </cols>
  <sheetData>
    <row r="1" spans="1:8">
      <c r="A1">
        <v>2021</v>
      </c>
      <c r="B1" t="s">
        <v>76</v>
      </c>
      <c r="C1" t="s">
        <v>298</v>
      </c>
      <c r="D1" t="s">
        <v>129</v>
      </c>
      <c r="E1" t="s">
        <v>79</v>
      </c>
      <c r="F1" t="s">
        <v>259</v>
      </c>
      <c r="G1" s="106" t="s">
        <v>476</v>
      </c>
      <c r="H1" t="s">
        <v>227</v>
      </c>
    </row>
    <row r="2" spans="1:8">
      <c r="A2" s="106" t="s">
        <v>303</v>
      </c>
      <c r="B2">
        <f ca="1">INDIRECT(B$1&amp;"!G14")</f>
        <v>145000</v>
      </c>
      <c r="C2">
        <f t="shared" ref="C2:H2" ca="1" si="0">INDIRECT(C$1&amp;"!G14")</f>
        <v>71970</v>
      </c>
      <c r="D2">
        <f t="shared" ca="1" si="0"/>
        <v>156500</v>
      </c>
      <c r="E2">
        <f t="shared" ca="1" si="0"/>
        <v>221000</v>
      </c>
      <c r="F2">
        <f t="shared" ca="1" si="0"/>
        <v>1608000</v>
      </c>
      <c r="G2">
        <f ca="1">SUM(B2:F2)</f>
        <v>2202470</v>
      </c>
      <c r="H2">
        <f t="shared" ca="1" si="0"/>
        <v>0</v>
      </c>
    </row>
    <row r="3" spans="1:8">
      <c r="A3" t="s">
        <v>5</v>
      </c>
      <c r="B3">
        <f ca="1">INDIRECT(B$1&amp;"!G2")</f>
        <v>365817</v>
      </c>
      <c r="C3">
        <f t="shared" ref="C3:H3" ca="1" si="1">INDIRECT(C$1&amp;"!G2")</f>
        <v>117929</v>
      </c>
      <c r="D3">
        <f t="shared" ca="1" si="1"/>
        <v>257637</v>
      </c>
      <c r="E3">
        <f t="shared" ca="1" si="1"/>
        <v>198270</v>
      </c>
      <c r="F3">
        <f t="shared" ca="1" si="1"/>
        <v>469822</v>
      </c>
      <c r="G3">
        <f ca="1">SUM(B3:F3)</f>
        <v>1409475</v>
      </c>
      <c r="H3">
        <f t="shared" ca="1" si="1"/>
        <v>0</v>
      </c>
    </row>
    <row r="4" spans="1:8">
      <c r="A4" t="s">
        <v>291</v>
      </c>
      <c r="B4">
        <f ca="1">INDIRECT(B$1&amp;"!G3")</f>
        <v>109207</v>
      </c>
      <c r="C4">
        <f t="shared" ref="C4:H4" ca="1" si="2">INDIRECT(C$1&amp;"!G3")</f>
        <v>47284</v>
      </c>
      <c r="D4">
        <f t="shared" ca="1" si="2"/>
        <v>90734</v>
      </c>
      <c r="E4">
        <f t="shared" ca="1" si="2"/>
        <v>83716</v>
      </c>
      <c r="F4">
        <f t="shared" ca="1" si="2"/>
        <v>38151</v>
      </c>
      <c r="G4">
        <f ca="1">SUM(B4:F4)</f>
        <v>369092</v>
      </c>
      <c r="H4">
        <f t="shared" ca="1" si="2"/>
        <v>0</v>
      </c>
    </row>
    <row r="5" spans="1:8">
      <c r="A5" t="s">
        <v>293</v>
      </c>
      <c r="B5">
        <f ca="1">INDIRECT(B$1&amp;"!G6")</f>
        <v>14527</v>
      </c>
      <c r="C5">
        <f t="shared" ref="C5:H5" ca="1" si="3">INDIRECT(C$1&amp;"!G6")</f>
        <v>7914</v>
      </c>
      <c r="D5">
        <f t="shared" ca="1" si="3"/>
        <v>14701</v>
      </c>
      <c r="E5">
        <f t="shared" ca="1" si="3"/>
        <v>10978</v>
      </c>
      <c r="F5">
        <f t="shared" ca="1" si="3"/>
        <v>4791</v>
      </c>
      <c r="G5">
        <f ca="1">SUM(B5:F5)</f>
        <v>52911</v>
      </c>
      <c r="H5">
        <f t="shared" ca="1" si="3"/>
        <v>0</v>
      </c>
    </row>
    <row r="6" spans="1:8">
      <c r="A6" t="s">
        <v>292</v>
      </c>
      <c r="B6">
        <f ca="1">INDIRECT(B$1&amp;"!G8")+INDIRECT(B$1&amp;"!G11")</f>
        <v>19301</v>
      </c>
      <c r="C6">
        <f t="shared" ref="C6:H6" ca="1" si="4">INDIRECT(C$1&amp;"!G8")+INDIRECT(C$1&amp;"!G11")</f>
        <v>7305</v>
      </c>
      <c r="D6">
        <f t="shared" ca="1" si="4"/>
        <v>12818</v>
      </c>
      <c r="E6">
        <f t="shared" ca="1" si="4"/>
        <v>16680</v>
      </c>
      <c r="F6">
        <f t="shared" ca="1" si="4"/>
        <v>5101</v>
      </c>
      <c r="G6">
        <f ca="1">SUM(B6:F6)</f>
        <v>61205</v>
      </c>
      <c r="H6">
        <f t="shared" ca="1" si="4"/>
        <v>0</v>
      </c>
    </row>
    <row r="7" spans="1:8">
      <c r="A7" t="s">
        <v>294</v>
      </c>
      <c r="B7">
        <f ca="1">INDIRECT(B$1&amp;"!G13")</f>
        <v>25385</v>
      </c>
      <c r="C7">
        <f t="shared" ref="C7:H7" ca="1" si="5">INDIRECT(C$1&amp;"!G13")</f>
        <v>8525</v>
      </c>
      <c r="D7">
        <f t="shared" ca="1" si="5"/>
        <v>13412</v>
      </c>
      <c r="E7">
        <f t="shared" ca="1" si="5"/>
        <v>0</v>
      </c>
      <c r="F7">
        <f t="shared" ca="1" si="5"/>
        <v>0</v>
      </c>
      <c r="G7">
        <f ca="1">SUM(B7:F7)</f>
        <v>47322</v>
      </c>
      <c r="H7">
        <f t="shared" ca="1" si="5"/>
        <v>0</v>
      </c>
    </row>
    <row r="8" spans="1:8">
      <c r="A8" t="s">
        <v>295</v>
      </c>
      <c r="B8" s="103">
        <f ca="1">B5/B$4</f>
        <v>0.13302260844085087</v>
      </c>
      <c r="C8" s="103">
        <f t="shared" ref="C8:H8" ca="1" si="6">C5/C$4</f>
        <v>0.16737162676592504</v>
      </c>
      <c r="D8" s="103">
        <f t="shared" ca="1" si="6"/>
        <v>0.16202305640663919</v>
      </c>
      <c r="E8" s="103">
        <f t="shared" ca="1" si="6"/>
        <v>0.13113383343685794</v>
      </c>
      <c r="F8" s="103">
        <f t="shared" ca="1" si="6"/>
        <v>0.12557993237398757</v>
      </c>
      <c r="G8" s="56">
        <f ca="1">AVERAGE(B8:F8)</f>
        <v>0.14382621148485211</v>
      </c>
      <c r="H8" s="103" t="e">
        <f t="shared" ca="1" si="6"/>
        <v>#DIV/0!</v>
      </c>
    </row>
    <row r="9" spans="1:8">
      <c r="A9" t="s">
        <v>296</v>
      </c>
      <c r="B9" s="103">
        <f t="shared" ref="B9:H10" ca="1" si="7">B6/B$4</f>
        <v>0.17673775490582105</v>
      </c>
      <c r="C9" s="103">
        <f t="shared" ca="1" si="7"/>
        <v>0.1544920057524744</v>
      </c>
      <c r="D9" s="103">
        <f t="shared" ca="1" si="7"/>
        <v>0.14127008618599424</v>
      </c>
      <c r="E9" s="103">
        <f t="shared" ca="1" si="7"/>
        <v>0.19924506665392516</v>
      </c>
      <c r="F9" s="103">
        <f t="shared" ca="1" si="7"/>
        <v>0.1337055385179943</v>
      </c>
      <c r="G9" s="56">
        <f ca="1">AVERAGE(B9:F9)</f>
        <v>0.16109009040324182</v>
      </c>
      <c r="H9" s="103" t="e">
        <f t="shared" ca="1" si="7"/>
        <v>#DIV/0!</v>
      </c>
    </row>
    <row r="10" spans="1:8">
      <c r="A10" t="s">
        <v>297</v>
      </c>
      <c r="B10" s="103">
        <f t="shared" ca="1" si="7"/>
        <v>0.23244846942045841</v>
      </c>
      <c r="C10" s="103">
        <f t="shared" ca="1" si="7"/>
        <v>0.18029354538533118</v>
      </c>
      <c r="D10" s="103">
        <f t="shared" ca="1" si="7"/>
        <v>0.14781669495448232</v>
      </c>
      <c r="E10" s="103">
        <f t="shared" ca="1" si="7"/>
        <v>0</v>
      </c>
      <c r="F10" s="103">
        <f t="shared" ca="1" si="7"/>
        <v>0</v>
      </c>
      <c r="G10" s="56">
        <f ca="1">AVERAGE(B10:F10)</f>
        <v>0.11211174195205438</v>
      </c>
      <c r="H10" s="103" t="e">
        <f t="shared" ca="1" si="7"/>
        <v>#DIV/0!</v>
      </c>
    </row>
    <row r="11" spans="1:8">
      <c r="A11" s="106" t="s">
        <v>299</v>
      </c>
      <c r="B11">
        <f ca="1">INDIRECT(B$1&amp;"!G5")</f>
        <v>68700</v>
      </c>
      <c r="C11">
        <f t="shared" ref="C11:H11" ca="1" si="8">INDIRECT(C$1&amp;"!G5")</f>
        <v>3615</v>
      </c>
      <c r="D11">
        <f t="shared" ca="1" si="8"/>
        <v>13718</v>
      </c>
      <c r="E11">
        <f t="shared" ca="1" si="8"/>
        <v>35879</v>
      </c>
      <c r="F11">
        <f t="shared" ca="1" si="8"/>
        <v>2272</v>
      </c>
      <c r="G11">
        <f ca="1">SUM(B11:F11)</f>
        <v>124184</v>
      </c>
      <c r="H11">
        <f t="shared" ca="1" si="8"/>
        <v>0</v>
      </c>
    </row>
    <row r="12" spans="1:8">
      <c r="A12" s="106" t="s">
        <v>300</v>
      </c>
      <c r="B12" s="103">
        <f ca="1">B11/B4</f>
        <v>0.6290805534443763</v>
      </c>
      <c r="C12" s="103">
        <f t="shared" ref="C12:H12" ca="1" si="9">C11/C4</f>
        <v>7.6452922764571524E-2</v>
      </c>
      <c r="D12" s="103">
        <f t="shared" ca="1" si="9"/>
        <v>0.15118919038067319</v>
      </c>
      <c r="E12" s="103">
        <f t="shared" ca="1" si="9"/>
        <v>0.42857996081991495</v>
      </c>
      <c r="F12" s="103">
        <f t="shared" ca="1" si="9"/>
        <v>5.9552829545752403E-2</v>
      </c>
      <c r="G12" s="56">
        <f ca="1">AVERAGE(B12:F12)</f>
        <v>0.26897109139105768</v>
      </c>
      <c r="H12" s="103" t="e">
        <f t="shared" ca="1" si="9"/>
        <v>#DIV/0!</v>
      </c>
    </row>
    <row r="13" spans="1:8">
      <c r="A13" s="106" t="s">
        <v>17</v>
      </c>
      <c r="B13">
        <f ca="1">ROUND(INDIRECT(B$1&amp;"!G31"),0)</f>
        <v>262</v>
      </c>
      <c r="C13">
        <f t="shared" ref="C13:F16" ca="1" si="10">ROUND(INDIRECT(C$1&amp;"!G31"),0)</f>
        <v>287</v>
      </c>
      <c r="D13">
        <f t="shared" ca="1" si="10"/>
        <v>3197</v>
      </c>
      <c r="E13">
        <f t="shared" ca="1" si="10"/>
        <v>3415</v>
      </c>
      <c r="F13">
        <f t="shared" ca="1" si="10"/>
        <v>36456</v>
      </c>
      <c r="G13">
        <f ca="1">SUM(B13:F13)</f>
        <v>43617</v>
      </c>
      <c r="H13">
        <f t="shared" ref="C13:H13" ca="1" si="11">INDIRECT(H$1&amp;"!G31")</f>
        <v>0</v>
      </c>
    </row>
    <row r="14" spans="1:8">
      <c r="A14" s="106" t="s">
        <v>478</v>
      </c>
      <c r="B14">
        <f ca="1">ROUND(INDIRECT(B$1&amp;"!G27"),1)</f>
        <v>404.1</v>
      </c>
      <c r="C14">
        <f t="shared" ref="C14:F14" ca="1" si="12">ROUND(INDIRECT(C$1&amp;"!G27"),1)</f>
        <v>1492.4</v>
      </c>
      <c r="D14">
        <f t="shared" ca="1" si="12"/>
        <v>1261.5</v>
      </c>
      <c r="E14">
        <f t="shared" ca="1" si="12"/>
        <v>6029.7</v>
      </c>
      <c r="F14">
        <f t="shared" ca="1" si="12"/>
        <v>5846.1</v>
      </c>
      <c r="G14">
        <f ca="1">SUM(B14:F14)</f>
        <v>15033.800000000001</v>
      </c>
      <c r="H14">
        <f t="shared" ref="C14:H14" ca="1" si="13">INDIRECT(H$1&amp;"!G27")</f>
        <v>0</v>
      </c>
    </row>
    <row r="15" spans="1:8">
      <c r="A15" s="106" t="s">
        <v>479</v>
      </c>
      <c r="B15">
        <f ca="1">ROUND(INDIRECT(B$1&amp;"!G28"),1)</f>
        <v>362.8</v>
      </c>
      <c r="C15">
        <f t="shared" ref="C15:F15" ca="1" si="14">ROUND(INDIRECT(C$1&amp;"!G28"),1)</f>
        <v>42.9</v>
      </c>
      <c r="D15">
        <f t="shared" ca="1" si="14"/>
        <v>182.2</v>
      </c>
      <c r="E15">
        <f t="shared" ca="1" si="14"/>
        <v>372.2</v>
      </c>
      <c r="F15">
        <f t="shared" ca="1" si="14"/>
        <v>189.3</v>
      </c>
      <c r="G15">
        <f ca="1">SUM(B15:F15)</f>
        <v>1149.3999999999999</v>
      </c>
      <c r="H15">
        <f t="shared" ref="C15:H15" ca="1" si="15">INDIRECT(H$1&amp;"!G28")</f>
        <v>0</v>
      </c>
    </row>
    <row r="16" spans="1:8">
      <c r="A16" s="106" t="s">
        <v>480</v>
      </c>
      <c r="B16">
        <f ca="1">ROUND(INDIRECT(B$1&amp;"!G29"),1)</f>
        <v>118.1</v>
      </c>
      <c r="C16">
        <f t="shared" ref="C16:F16" ca="1" si="16">ROUND(INDIRECT(C$1&amp;"!G29"),1)</f>
        <v>14.1</v>
      </c>
      <c r="D16">
        <f t="shared" ca="1" si="16"/>
        <v>83.9</v>
      </c>
      <c r="E16">
        <f t="shared" ca="1" si="16"/>
        <v>143.30000000000001</v>
      </c>
      <c r="F16">
        <f t="shared" ca="1" si="16"/>
        <v>59.5</v>
      </c>
      <c r="G16">
        <f ca="1">SUM(B16:F16)</f>
        <v>418.9</v>
      </c>
      <c r="H16">
        <f t="shared" ref="C16:H16" ca="1" si="17">INDIRECT(H$1&amp;"!G29")</f>
        <v>0</v>
      </c>
    </row>
    <row r="17" spans="1:8">
      <c r="A17" s="106" t="s">
        <v>481</v>
      </c>
      <c r="B17" s="103">
        <f ca="1">B16/B15</f>
        <v>0.32552370452039686</v>
      </c>
      <c r="C17" s="103">
        <f t="shared" ref="C17:H17" ca="1" si="18">C16/C15</f>
        <v>0.3286713286713287</v>
      </c>
      <c r="D17" s="103">
        <f t="shared" ca="1" si="18"/>
        <v>0.46048298572996715</v>
      </c>
      <c r="E17" s="103">
        <f t="shared" ca="1" si="18"/>
        <v>0.38500806018269751</v>
      </c>
      <c r="F17" s="103">
        <f t="shared" ca="1" si="18"/>
        <v>0.31431590068674059</v>
      </c>
      <c r="G17" s="56">
        <f ca="1">AVERAGE(B17:F17)</f>
        <v>0.36280039595822616</v>
      </c>
      <c r="H17" s="103" t="e">
        <f t="shared" ca="1" si="18"/>
        <v>#DIV/0!</v>
      </c>
    </row>
    <row r="18" spans="1:8">
      <c r="A18" s="106" t="s">
        <v>301</v>
      </c>
      <c r="B18">
        <f ca="1">ROUND(INDIRECT(B$1&amp;"!G17")*B3,1)</f>
        <v>8455.4</v>
      </c>
      <c r="C18">
        <f t="shared" ref="C18:F18" ca="1" si="19">ROUND(INDIRECT(C$1&amp;"!G17")*C3,1)</f>
        <v>5811.4</v>
      </c>
      <c r="D18">
        <f t="shared" ca="1" si="19"/>
        <v>881118.5</v>
      </c>
      <c r="E18">
        <f t="shared" ca="1" si="19"/>
        <v>6780.8</v>
      </c>
      <c r="F18">
        <f t="shared" ca="1" si="19"/>
        <v>37326</v>
      </c>
      <c r="G18">
        <f ca="1">SUM(B18:F18)</f>
        <v>939492.10000000009</v>
      </c>
      <c r="H18">
        <f t="shared" ref="C18:H18" ca="1" si="20">INDIRECT(H$1&amp;"!G17")*H3</f>
        <v>0</v>
      </c>
    </row>
    <row r="19" spans="1:8">
      <c r="A19" s="106" t="s">
        <v>302</v>
      </c>
      <c r="B19">
        <f ca="1">ROUND(INDIRECT(B$1&amp;"!G17")*B4,1)</f>
        <v>2524.1999999999998</v>
      </c>
      <c r="C19">
        <f t="shared" ref="C19:F19" ca="1" si="21">ROUND(INDIRECT(C$1&amp;"!G17")*C4,1)</f>
        <v>2330.1</v>
      </c>
      <c r="D19">
        <f t="shared" ca="1" si="21"/>
        <v>310310.3</v>
      </c>
      <c r="E19">
        <f t="shared" ca="1" si="21"/>
        <v>2863.1</v>
      </c>
      <c r="F19">
        <f t="shared" ca="1" si="21"/>
        <v>3031</v>
      </c>
      <c r="G19">
        <f ca="1">SUM(B19:F19)</f>
        <v>321058.69999999995</v>
      </c>
      <c r="H19">
        <f t="shared" ref="C19:H20" ca="1" si="22">INDIRECT(H$1&amp;"!G17")*H4</f>
        <v>0</v>
      </c>
    </row>
    <row r="20" spans="1:8">
      <c r="A20" s="106" t="s">
        <v>304</v>
      </c>
      <c r="B20">
        <f ca="1">ROUND(INDIRECT(B$1&amp;"!G17")*B5,1)</f>
        <v>335.8</v>
      </c>
      <c r="C20">
        <f t="shared" ref="C20:F20" ca="1" si="23">ROUND(INDIRECT(C$1&amp;"!G17")*C5,1)</f>
        <v>390</v>
      </c>
      <c r="D20">
        <f t="shared" ca="1" si="23"/>
        <v>50277.4</v>
      </c>
      <c r="E20">
        <f t="shared" ca="1" si="23"/>
        <v>375.4</v>
      </c>
      <c r="F20">
        <f t="shared" ca="1" si="23"/>
        <v>380.6</v>
      </c>
      <c r="G20">
        <f ca="1">SUM(B20:F20)</f>
        <v>51759.200000000004</v>
      </c>
      <c r="H20">
        <f t="shared" ca="1" si="22"/>
        <v>0</v>
      </c>
    </row>
    <row r="21" spans="1:8">
      <c r="A21" s="106" t="s">
        <v>305</v>
      </c>
      <c r="B21">
        <f ca="1">B20-B16</f>
        <v>217.70000000000002</v>
      </c>
      <c r="C21">
        <f t="shared" ref="C21:H21" ca="1" si="24">C20-C16</f>
        <v>375.9</v>
      </c>
      <c r="D21">
        <f t="shared" ca="1" si="24"/>
        <v>50193.5</v>
      </c>
      <c r="E21">
        <f t="shared" ca="1" si="24"/>
        <v>232.09999999999997</v>
      </c>
      <c r="F21">
        <f t="shared" ca="1" si="24"/>
        <v>321.10000000000002</v>
      </c>
      <c r="G21">
        <f ca="1">SUM(B21:F21)</f>
        <v>51340.299999999996</v>
      </c>
      <c r="H21">
        <f t="shared" ca="1" si="24"/>
        <v>0</v>
      </c>
    </row>
    <row r="22" spans="1:8">
      <c r="A22" s="106" t="s">
        <v>477</v>
      </c>
      <c r="B22" s="206">
        <f ca="1">B16/B19</f>
        <v>4.6787100863639963E-2</v>
      </c>
      <c r="C22" s="206">
        <f t="shared" ref="C22:F22" ca="1" si="25">C16/C19</f>
        <v>6.0512424359469548E-3</v>
      </c>
      <c r="D22" s="206">
        <f t="shared" ca="1" si="25"/>
        <v>2.7037452511244391E-4</v>
      </c>
      <c r="E22" s="206">
        <f t="shared" ca="1" si="25"/>
        <v>5.0050644406412638E-2</v>
      </c>
      <c r="F22" s="206">
        <f t="shared" ca="1" si="25"/>
        <v>1.9630484988452657E-2</v>
      </c>
      <c r="G22" s="56">
        <f ca="1">AVERAGE(B22:F22)</f>
        <v>2.455796944391293E-2</v>
      </c>
    </row>
  </sheetData>
  <pageMargins left="0.7" right="0.7" top="0.78740157499999996" bottom="0.78740157499999996" header="0.3" footer="0.3"/>
  <pageSetup paperSize="9" orientation="portrait" horizontalDpi="4294967293" vertic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3"/>
  <sheetViews>
    <sheetView topLeftCell="E1" zoomScaleNormal="100" workbookViewId="0">
      <selection activeCell="J12" sqref="J12"/>
    </sheetView>
  </sheetViews>
  <sheetFormatPr baseColWidth="10" defaultColWidth="10.5546875" defaultRowHeight="14.4"/>
  <cols>
    <col min="1" max="1" width="26.88671875" style="32" customWidth="1"/>
    <col min="2" max="2" width="14.6640625" customWidth="1"/>
    <col min="3" max="3" width="13.6640625" customWidth="1"/>
    <col min="4" max="4" width="18.6640625" customWidth="1"/>
    <col min="5" max="5" width="17.109375" customWidth="1"/>
    <col min="6" max="6" width="20.6640625" customWidth="1"/>
    <col min="7" max="9" width="21" customWidth="1"/>
    <col min="10" max="11" width="29" customWidth="1"/>
    <col min="12" max="12" width="23.77734375" customWidth="1"/>
    <col min="13" max="13" width="13" customWidth="1"/>
    <col min="14" max="15" width="15.33203125" customWidth="1"/>
    <col min="16" max="16" width="15.21875" customWidth="1"/>
    <col min="17" max="17" width="16.44140625" customWidth="1"/>
  </cols>
  <sheetData>
    <row r="1" spans="1:17" ht="86.4">
      <c r="A1" s="7" t="s">
        <v>37</v>
      </c>
      <c r="B1" s="3" t="s">
        <v>76</v>
      </c>
      <c r="C1" s="3" t="s">
        <v>77</v>
      </c>
      <c r="D1" s="3" t="s">
        <v>78</v>
      </c>
      <c r="E1" s="3" t="s">
        <v>79</v>
      </c>
      <c r="F1" s="10" t="s">
        <v>80</v>
      </c>
      <c r="G1" s="41" t="s">
        <v>81</v>
      </c>
      <c r="H1" s="41" t="s">
        <v>82</v>
      </c>
      <c r="I1" s="41" t="s">
        <v>83</v>
      </c>
      <c r="J1" s="41" t="s">
        <v>84</v>
      </c>
      <c r="K1" s="41" t="s">
        <v>85</v>
      </c>
      <c r="L1" s="41" t="s">
        <v>86</v>
      </c>
      <c r="M1" s="41" t="s">
        <v>87</v>
      </c>
      <c r="N1" s="41" t="s">
        <v>88</v>
      </c>
      <c r="O1" s="41" t="s">
        <v>89</v>
      </c>
    </row>
    <row r="2" spans="1:17">
      <c r="A2" s="32" t="s">
        <v>5</v>
      </c>
      <c r="B2" s="4" t="e">
        <f>Apple!#REF!</f>
        <v>#REF!</v>
      </c>
      <c r="C2" s="4" t="e">
        <f>Meta!#REF!</f>
        <v>#REF!</v>
      </c>
      <c r="D2" s="4" t="e">
        <f>Alphabet!$G3:$G19</f>
        <v>#VALUE!</v>
      </c>
      <c r="E2" s="4" t="e">
        <f>Microsoft!#REF!</f>
        <v>#REF!</v>
      </c>
      <c r="F2" s="4" t="e">
        <f>SUM(B2:E2)</f>
        <v>#REF!</v>
      </c>
      <c r="G2" s="4">
        <v>5714.4</v>
      </c>
      <c r="H2" s="4">
        <v>5714.4</v>
      </c>
      <c r="I2">
        <v>3669.4</v>
      </c>
      <c r="J2">
        <v>3669.4</v>
      </c>
      <c r="K2">
        <v>3641.6</v>
      </c>
      <c r="L2">
        <v>3641.6</v>
      </c>
      <c r="M2" s="42">
        <v>27.8</v>
      </c>
      <c r="N2" s="42">
        <v>27.8</v>
      </c>
    </row>
    <row r="3" spans="1:17">
      <c r="A3" s="32" t="s">
        <v>90</v>
      </c>
      <c r="B3" s="4" t="e">
        <f>Apple!#REF!</f>
        <v>#REF!</v>
      </c>
      <c r="C3" s="4" t="e">
        <f>Meta!#REF!</f>
        <v>#REF!</v>
      </c>
      <c r="D3" s="4" t="e">
        <f>Alphabet!#REF!</f>
        <v>#REF!</v>
      </c>
      <c r="E3" s="4" t="e">
        <f>Microsoft!#REF!</f>
        <v>#REF!</v>
      </c>
      <c r="F3" s="4" t="e">
        <f>SUM(B3:E3)</f>
        <v>#REF!</v>
      </c>
      <c r="G3" s="4">
        <v>1065.8</v>
      </c>
      <c r="H3" s="4">
        <v>1065.8</v>
      </c>
      <c r="I3">
        <v>655.9</v>
      </c>
      <c r="J3">
        <v>655.9</v>
      </c>
      <c r="K3">
        <v>650.4</v>
      </c>
      <c r="L3">
        <v>650.4</v>
      </c>
      <c r="M3" s="42">
        <v>5.5</v>
      </c>
      <c r="N3" s="42">
        <v>5.5</v>
      </c>
      <c r="Q3">
        <v>2.7</v>
      </c>
    </row>
    <row r="4" spans="1:17">
      <c r="A4" s="32" t="s">
        <v>91</v>
      </c>
      <c r="B4" s="43" t="e">
        <f>B3/B2</f>
        <v>#REF!</v>
      </c>
      <c r="C4" s="43" t="e">
        <f>C3/C2</f>
        <v>#REF!</v>
      </c>
      <c r="D4" s="43" t="e">
        <f>D3/D2</f>
        <v>#REF!</v>
      </c>
      <c r="E4" s="43" t="e">
        <f>E3/E2</f>
        <v>#REF!</v>
      </c>
      <c r="F4" s="43" t="e">
        <f>AVERAGE(B4:E4)</f>
        <v>#REF!</v>
      </c>
      <c r="G4" s="12">
        <f t="shared" ref="G4:N4" si="0">G3/G2</f>
        <v>0.1865112697746045</v>
      </c>
      <c r="H4" s="12">
        <f t="shared" si="0"/>
        <v>0.1865112697746045</v>
      </c>
      <c r="I4" s="12">
        <f t="shared" si="0"/>
        <v>0.17874856924837848</v>
      </c>
      <c r="J4" s="12">
        <f t="shared" si="0"/>
        <v>0.17874856924837848</v>
      </c>
      <c r="K4" s="12">
        <f t="shared" si="0"/>
        <v>0.17860281195079086</v>
      </c>
      <c r="L4" s="12">
        <f t="shared" si="0"/>
        <v>0.17860281195079086</v>
      </c>
      <c r="M4" s="12">
        <f t="shared" si="0"/>
        <v>0.19784172661870503</v>
      </c>
      <c r="N4" s="12">
        <f t="shared" si="0"/>
        <v>0.19784172661870503</v>
      </c>
      <c r="Q4">
        <f>Q3*0.2</f>
        <v>0.54</v>
      </c>
    </row>
    <row r="5" spans="1:17">
      <c r="A5" s="32" t="s">
        <v>92</v>
      </c>
      <c r="B5" s="4" t="e">
        <f>(B4-0.1)*B2</f>
        <v>#REF!</v>
      </c>
      <c r="C5" s="4" t="e">
        <f>(C4-0.1)*C2</f>
        <v>#REF!</v>
      </c>
      <c r="D5" s="4" t="e">
        <f>(D4-0.1)*D2</f>
        <v>#REF!</v>
      </c>
      <c r="E5" s="4" t="e">
        <f>(E4-0.1)*E2</f>
        <v>#REF!</v>
      </c>
      <c r="F5" s="4" t="e">
        <f>SUM(B5:E5)</f>
        <v>#REF!</v>
      </c>
      <c r="G5">
        <f t="shared" ref="G5:N5" si="1">(G4-0.1)*G2</f>
        <v>494.3599999999999</v>
      </c>
      <c r="H5">
        <f t="shared" si="1"/>
        <v>494.3599999999999</v>
      </c>
      <c r="I5">
        <f t="shared" si="1"/>
        <v>288.95999999999998</v>
      </c>
      <c r="J5">
        <f t="shared" si="1"/>
        <v>288.95999999999998</v>
      </c>
      <c r="K5">
        <f t="shared" si="1"/>
        <v>286.23999999999995</v>
      </c>
      <c r="L5">
        <f t="shared" si="1"/>
        <v>286.23999999999995</v>
      </c>
      <c r="M5">
        <f t="shared" si="1"/>
        <v>2.7199999999999998</v>
      </c>
      <c r="N5">
        <f t="shared" si="1"/>
        <v>2.7199999999999998</v>
      </c>
      <c r="Q5">
        <f>M6*0.3</f>
        <v>0.16319999999999998</v>
      </c>
    </row>
    <row r="6" spans="1:17" ht="43.2">
      <c r="A6" s="32" t="s">
        <v>93</v>
      </c>
      <c r="B6" s="4" t="e">
        <f>0.2*B5</f>
        <v>#REF!</v>
      </c>
      <c r="C6" s="4" t="e">
        <f>0.2*C5</f>
        <v>#REF!</v>
      </c>
      <c r="D6" s="4" t="e">
        <f>0.2*D5</f>
        <v>#REF!</v>
      </c>
      <c r="E6" s="4" t="e">
        <f>0.2*E5</f>
        <v>#REF!</v>
      </c>
      <c r="F6" s="4" t="e">
        <f>SUM(B6:E6)</f>
        <v>#REF!</v>
      </c>
      <c r="G6">
        <f>0.2*G5</f>
        <v>98.871999999999986</v>
      </c>
      <c r="H6">
        <f>0.25*H5</f>
        <v>123.58999999999997</v>
      </c>
      <c r="I6">
        <f>0.2*I5</f>
        <v>57.792000000000002</v>
      </c>
      <c r="J6">
        <f>0.25*J5</f>
        <v>72.239999999999995</v>
      </c>
      <c r="K6">
        <f>0.2*K5</f>
        <v>57.24799999999999</v>
      </c>
      <c r="L6">
        <f>0.25*L5</f>
        <v>71.559999999999988</v>
      </c>
      <c r="M6">
        <f>0.2*M5</f>
        <v>0.54399999999999993</v>
      </c>
      <c r="N6" s="44">
        <f>0.25*N5</f>
        <v>0.67999999999999994</v>
      </c>
      <c r="P6" t="s">
        <v>94</v>
      </c>
    </row>
    <row r="7" spans="1:17" ht="28.8">
      <c r="A7" s="32" t="s">
        <v>95</v>
      </c>
      <c r="B7" s="4" t="e">
        <f>B9*B6</f>
        <v>#REF!</v>
      </c>
      <c r="C7" s="4" t="e">
        <f>C9*C6</f>
        <v>#REF!</v>
      </c>
      <c r="D7" s="4" t="e">
        <f>D9*D6</f>
        <v>#REF!</v>
      </c>
      <c r="E7" s="4" t="e">
        <f>E9*E6</f>
        <v>#REF!</v>
      </c>
      <c r="F7" s="4" t="e">
        <f>SUM(B7:E7)</f>
        <v>#REF!</v>
      </c>
      <c r="G7" s="45">
        <f t="shared" ref="G7:L7" si="2">G9*G6</f>
        <v>3.3814223999999995</v>
      </c>
      <c r="H7" s="45">
        <f t="shared" si="2"/>
        <v>4.2267779999999995</v>
      </c>
      <c r="I7" s="45">
        <f t="shared" si="2"/>
        <v>1.9764864000000002</v>
      </c>
      <c r="J7" s="45">
        <f t="shared" si="2"/>
        <v>2.4706079999999999</v>
      </c>
      <c r="K7" s="45">
        <f t="shared" si="2"/>
        <v>1.9578815999999997</v>
      </c>
      <c r="L7" s="45">
        <f t="shared" si="2"/>
        <v>2.4473519999999995</v>
      </c>
      <c r="M7" s="45"/>
      <c r="N7" s="46">
        <f>N6*N9</f>
        <v>2.3255999999999999E-2</v>
      </c>
    </row>
    <row r="8" spans="1:17" ht="28.8">
      <c r="A8" s="8" t="s">
        <v>35</v>
      </c>
      <c r="B8" s="36" t="e">
        <f>Apple!E31/Apple!#REF!</f>
        <v>#REF!</v>
      </c>
      <c r="C8" s="36" t="e">
        <f>Meta!E31/Meta!#REF!</f>
        <v>#REF!</v>
      </c>
      <c r="D8" s="36" t="e">
        <f>Alphabet!E31/Alphabet!#REF!</f>
        <v>#REF!</v>
      </c>
      <c r="E8" s="36" t="e">
        <f>AVERAGE(Tabelle7[[#This Row],[Apple]:[Google]])</f>
        <v>#REF!</v>
      </c>
      <c r="F8" s="35" t="e">
        <f>AVERAGE(Tabelle7[[#This Row],[Apple]:[Microsoft]])</f>
        <v>#REF!</v>
      </c>
      <c r="G8" s="35"/>
      <c r="H8" s="35"/>
    </row>
    <row r="9" spans="1:17">
      <c r="A9" s="8" t="s">
        <v>96</v>
      </c>
      <c r="B9" s="36">
        <v>3.4200000000000001E-2</v>
      </c>
      <c r="C9" s="36">
        <v>4.41E-2</v>
      </c>
      <c r="D9" s="36">
        <v>3.7900000000000003E-2</v>
      </c>
      <c r="E9" s="36">
        <v>3.4200000000000001E-2</v>
      </c>
      <c r="F9" s="35">
        <f>AVERAGE(Tabelle7[[#This Row],[Apple]:[Microsoft]])</f>
        <v>3.7600000000000001E-2</v>
      </c>
      <c r="G9" s="12">
        <v>3.4200000000000001E-2</v>
      </c>
      <c r="H9" s="12">
        <v>3.4200000000000001E-2</v>
      </c>
      <c r="I9" s="12">
        <v>3.4200000000000001E-2</v>
      </c>
      <c r="J9" s="12">
        <v>3.4200000000000001E-2</v>
      </c>
      <c r="K9" s="12">
        <v>3.4200000000000001E-2</v>
      </c>
      <c r="L9" s="12">
        <v>3.4200000000000001E-2</v>
      </c>
      <c r="N9" s="12">
        <v>3.4200000000000001E-2</v>
      </c>
    </row>
    <row r="10" spans="1:17" ht="39.6" customHeight="1">
      <c r="A10" s="32" t="s">
        <v>97</v>
      </c>
      <c r="B10" s="4" t="s">
        <v>98</v>
      </c>
      <c r="C10" s="10" t="s">
        <v>99</v>
      </c>
      <c r="D10" s="10" t="s">
        <v>100</v>
      </c>
      <c r="E10" s="4" t="s">
        <v>98</v>
      </c>
      <c r="F10" s="35">
        <f>AVERAGE(3.42,4.1,3.79,3.42)/100</f>
        <v>3.6824999999999997E-2</v>
      </c>
      <c r="G10" s="35"/>
      <c r="H10" s="35"/>
    </row>
    <row r="11" spans="1:17" ht="28.8">
      <c r="A11" s="8" t="s">
        <v>101</v>
      </c>
      <c r="B11" s="4" t="e">
        <f>B7*0.3</f>
        <v>#REF!</v>
      </c>
      <c r="C11" s="4" t="e">
        <f>C7*0.3</f>
        <v>#REF!</v>
      </c>
      <c r="D11" s="4" t="e">
        <f>D7*0.3</f>
        <v>#REF!</v>
      </c>
      <c r="E11" s="4" t="e">
        <f>E7*0.3</f>
        <v>#REF!</v>
      </c>
      <c r="F11" s="4" t="e">
        <f>SUM(B11:E11)</f>
        <v>#REF!</v>
      </c>
      <c r="G11" s="47">
        <f t="shared" ref="G11:L11" si="3">G7*0.3</f>
        <v>1.0144267199999999</v>
      </c>
      <c r="H11" s="47">
        <f t="shared" si="3"/>
        <v>1.2680333999999998</v>
      </c>
      <c r="I11" s="47">
        <f t="shared" si="3"/>
        <v>0.59294592000000002</v>
      </c>
      <c r="J11" s="47">
        <f t="shared" si="3"/>
        <v>0.74118239999999991</v>
      </c>
      <c r="K11" s="47">
        <f t="shared" si="3"/>
        <v>0.58736447999999986</v>
      </c>
      <c r="L11" s="47">
        <f t="shared" si="3"/>
        <v>0.73420559999999979</v>
      </c>
      <c r="M11" s="47"/>
      <c r="N11" s="47">
        <f>N7*0.3</f>
        <v>6.9767999999999991E-3</v>
      </c>
    </row>
    <row r="12" spans="1:17" ht="72">
      <c r="A12" s="8" t="s">
        <v>102</v>
      </c>
      <c r="B12" s="4" t="e">
        <f>B5*B4*B9*0.3</f>
        <v>#REF!</v>
      </c>
      <c r="C12" s="4" t="e">
        <f>C5*C4*C9*0.3</f>
        <v>#REF!</v>
      </c>
      <c r="D12" s="4" t="e">
        <f>D5*D4*D9*0.3</f>
        <v>#REF!</v>
      </c>
      <c r="E12" s="4" t="e">
        <f>E5*E4*E9*0.3</f>
        <v>#REF!</v>
      </c>
      <c r="F12" s="4" t="e">
        <f>SUM(B12:E12)</f>
        <v>#REF!</v>
      </c>
      <c r="G12" s="4"/>
      <c r="H12" s="4"/>
      <c r="P12" s="48">
        <f>I11-K11</f>
        <v>5.5814400000001596E-3</v>
      </c>
      <c r="Q12" s="7" t="s">
        <v>103</v>
      </c>
    </row>
    <row r="13" spans="1:17" ht="72">
      <c r="A13" s="8" t="s">
        <v>104</v>
      </c>
      <c r="B13" s="4" t="e">
        <f>B5*B9*0.3</f>
        <v>#REF!</v>
      </c>
      <c r="C13" s="4" t="e">
        <f>C5*C9*0.3</f>
        <v>#REF!</v>
      </c>
      <c r="D13" s="4" t="e">
        <f>D5*D9*0.3</f>
        <v>#REF!</v>
      </c>
      <c r="E13" s="4" t="e">
        <f>E5*E9*0.3</f>
        <v>#REF!</v>
      </c>
      <c r="F13" s="4" t="e">
        <f>SUM(B13:E13)</f>
        <v>#REF!</v>
      </c>
      <c r="G13" s="4"/>
      <c r="H13" s="4"/>
      <c r="P13" s="22">
        <f>G11-M6</f>
        <v>0.47042671999999996</v>
      </c>
      <c r="Q13" s="7" t="s">
        <v>105</v>
      </c>
    </row>
    <row r="14" spans="1:17" ht="72">
      <c r="A14" s="8" t="s">
        <v>106</v>
      </c>
      <c r="B14" s="4" t="e">
        <f>AVERAGE(B8:B9)*B3*0.3</f>
        <v>#REF!</v>
      </c>
      <c r="C14" s="4" t="e">
        <f>AVERAGE(C8:C9)*C3*0.3</f>
        <v>#REF!</v>
      </c>
      <c r="D14" s="4" t="e">
        <f>AVERAGE(D8:D9)*D3*0.3</f>
        <v>#REF!</v>
      </c>
      <c r="E14" s="4" t="e">
        <f>AVERAGE(E8:E9)*E3*0.3</f>
        <v>#REF!</v>
      </c>
      <c r="F14" s="4" t="e">
        <f>SUM(B14:E14)</f>
        <v>#REF!</v>
      </c>
      <c r="G14" s="4"/>
      <c r="H14" s="4"/>
      <c r="P14" s="41">
        <f>H11-N6-N11</f>
        <v>0.58105659999999981</v>
      </c>
      <c r="Q14" s="41" t="s">
        <v>107</v>
      </c>
    </row>
    <row r="16" spans="1:17">
      <c r="P16">
        <f>N6*0.3</f>
        <v>0.20399999999999999</v>
      </c>
      <c r="Q16" t="s">
        <v>108</v>
      </c>
    </row>
    <row r="17" spans="1:17">
      <c r="A17" s="8" t="s">
        <v>109</v>
      </c>
      <c r="P17">
        <f>P16-N11</f>
        <v>0.19702319999999998</v>
      </c>
      <c r="Q17" t="s">
        <v>110</v>
      </c>
    </row>
    <row r="18" spans="1:17">
      <c r="A18" s="7" t="s">
        <v>37</v>
      </c>
      <c r="B18" s="3" t="s">
        <v>76</v>
      </c>
      <c r="C18" s="3" t="s">
        <v>77</v>
      </c>
      <c r="D18" s="3" t="s">
        <v>78</v>
      </c>
      <c r="E18" s="3" t="s">
        <v>79</v>
      </c>
      <c r="F18" s="10" t="s">
        <v>80</v>
      </c>
      <c r="G18" s="10"/>
      <c r="H18" s="10"/>
    </row>
    <row r="19" spans="1:17">
      <c r="A19" s="32" t="s">
        <v>5</v>
      </c>
      <c r="B19" s="4" t="e">
        <f t="shared" ref="B19:F20" si="4">ROUND(B2/1,0)</f>
        <v>#REF!</v>
      </c>
      <c r="C19" s="4" t="e">
        <f t="shared" si="4"/>
        <v>#REF!</v>
      </c>
      <c r="D19" s="4" t="e">
        <f t="shared" si="4"/>
        <v>#VALUE!</v>
      </c>
      <c r="E19" s="4" t="e">
        <f t="shared" si="4"/>
        <v>#REF!</v>
      </c>
      <c r="F19" s="4" t="e">
        <f t="shared" si="4"/>
        <v>#REF!</v>
      </c>
      <c r="G19" s="4"/>
      <c r="H19" s="4"/>
    </row>
    <row r="20" spans="1:17">
      <c r="A20" s="32" t="s">
        <v>90</v>
      </c>
      <c r="B20" s="4" t="e">
        <f t="shared" si="4"/>
        <v>#REF!</v>
      </c>
      <c r="C20" s="4" t="e">
        <f t="shared" si="4"/>
        <v>#REF!</v>
      </c>
      <c r="D20" s="4" t="e">
        <f t="shared" si="4"/>
        <v>#REF!</v>
      </c>
      <c r="E20" s="4" t="e">
        <f t="shared" si="4"/>
        <v>#REF!</v>
      </c>
      <c r="F20" s="4" t="e">
        <f t="shared" si="4"/>
        <v>#REF!</v>
      </c>
      <c r="G20" s="4"/>
      <c r="H20" s="4"/>
    </row>
    <row r="21" spans="1:17">
      <c r="A21" s="32" t="s">
        <v>91</v>
      </c>
      <c r="B21" s="43" t="e">
        <f>B20/B19</f>
        <v>#REF!</v>
      </c>
      <c r="C21" s="43" t="e">
        <f>C20/C19</f>
        <v>#REF!</v>
      </c>
      <c r="D21" s="43" t="e">
        <f>D20/D19</f>
        <v>#REF!</v>
      </c>
      <c r="E21" s="43" t="e">
        <f>E20/E19</f>
        <v>#REF!</v>
      </c>
      <c r="F21" s="43" t="e">
        <f>AVERAGE(B21:E21)</f>
        <v>#REF!</v>
      </c>
      <c r="G21" s="43"/>
      <c r="H21" s="43"/>
    </row>
    <row r="22" spans="1:17">
      <c r="A22" s="32" t="s">
        <v>92</v>
      </c>
      <c r="B22" s="4" t="e">
        <f t="shared" ref="B22:E24" si="5">ROUND(B5/1,0)</f>
        <v>#REF!</v>
      </c>
      <c r="C22" s="4" t="e">
        <f t="shared" si="5"/>
        <v>#REF!</v>
      </c>
      <c r="D22" s="4" t="e">
        <f t="shared" si="5"/>
        <v>#REF!</v>
      </c>
      <c r="E22" s="4" t="e">
        <f t="shared" si="5"/>
        <v>#REF!</v>
      </c>
      <c r="F22" s="4" t="e">
        <f>SUM(B22:E22)</f>
        <v>#REF!</v>
      </c>
      <c r="G22" s="4"/>
      <c r="H22" s="4"/>
    </row>
    <row r="23" spans="1:17" ht="43.2">
      <c r="A23" s="32" t="s">
        <v>93</v>
      </c>
      <c r="B23" s="4" t="e">
        <f t="shared" si="5"/>
        <v>#REF!</v>
      </c>
      <c r="C23" s="4" t="e">
        <f t="shared" si="5"/>
        <v>#REF!</v>
      </c>
      <c r="D23" s="4" t="e">
        <f t="shared" si="5"/>
        <v>#REF!</v>
      </c>
      <c r="E23" s="4" t="e">
        <f t="shared" si="5"/>
        <v>#REF!</v>
      </c>
      <c r="F23" s="4" t="e">
        <f>SUM(B23:E23)</f>
        <v>#REF!</v>
      </c>
      <c r="G23" s="4"/>
      <c r="H23" s="4"/>
    </row>
    <row r="24" spans="1:17" ht="28.8">
      <c r="A24" s="32" t="s">
        <v>95</v>
      </c>
      <c r="B24" s="4" t="e">
        <f t="shared" si="5"/>
        <v>#REF!</v>
      </c>
      <c r="C24" s="4" t="e">
        <f t="shared" si="5"/>
        <v>#REF!</v>
      </c>
      <c r="D24" s="4" t="e">
        <f t="shared" si="5"/>
        <v>#REF!</v>
      </c>
      <c r="E24" s="4" t="e">
        <f t="shared" si="5"/>
        <v>#REF!</v>
      </c>
      <c r="F24" s="4" t="e">
        <f>ROUND(F7/1,0)</f>
        <v>#REF!</v>
      </c>
      <c r="G24" s="4"/>
      <c r="H24" s="4"/>
    </row>
    <row r="25" spans="1:17">
      <c r="A25" s="32" t="s">
        <v>97</v>
      </c>
      <c r="B25" s="4" t="s">
        <v>98</v>
      </c>
      <c r="C25" s="10" t="s">
        <v>99</v>
      </c>
      <c r="D25" s="10" t="s">
        <v>100</v>
      </c>
      <c r="E25" s="4" t="s">
        <v>98</v>
      </c>
      <c r="F25" s="35">
        <f>AVERAGE(3.42,4.1,3.79,3.42)/100</f>
        <v>3.6824999999999997E-2</v>
      </c>
      <c r="G25" s="35"/>
      <c r="H25" s="35"/>
    </row>
    <row r="26" spans="1:17">
      <c r="A26" s="32" t="s">
        <v>111</v>
      </c>
      <c r="B26" s="4" t="e">
        <f t="shared" ref="B26:E29" si="6">ROUND(B11/1,0)</f>
        <v>#REF!</v>
      </c>
      <c r="C26" s="4" t="e">
        <f t="shared" si="6"/>
        <v>#REF!</v>
      </c>
      <c r="D26" s="4" t="e">
        <f t="shared" si="6"/>
        <v>#REF!</v>
      </c>
      <c r="E26" s="4" t="e">
        <f t="shared" si="6"/>
        <v>#REF!</v>
      </c>
      <c r="F26" s="4" t="e">
        <f>SUM(B26:E26)</f>
        <v>#REF!</v>
      </c>
      <c r="G26" s="4"/>
      <c r="H26" s="4"/>
    </row>
    <row r="27" spans="1:17" ht="43.2">
      <c r="A27" s="8" t="s">
        <v>102</v>
      </c>
      <c r="B27" s="4" t="e">
        <f t="shared" si="6"/>
        <v>#REF!</v>
      </c>
      <c r="C27" s="4" t="e">
        <f t="shared" si="6"/>
        <v>#REF!</v>
      </c>
      <c r="D27" s="4" t="e">
        <f t="shared" si="6"/>
        <v>#REF!</v>
      </c>
      <c r="E27" s="4" t="e">
        <f t="shared" si="6"/>
        <v>#REF!</v>
      </c>
      <c r="F27" s="4" t="e">
        <f>ROUND(F12/1,0)</f>
        <v>#REF!</v>
      </c>
      <c r="G27" s="4"/>
      <c r="H27" s="4"/>
    </row>
    <row r="28" spans="1:17" ht="43.2">
      <c r="A28" s="8" t="s">
        <v>104</v>
      </c>
      <c r="B28" s="4" t="e">
        <f t="shared" si="6"/>
        <v>#REF!</v>
      </c>
      <c r="C28" s="4" t="e">
        <f t="shared" si="6"/>
        <v>#REF!</v>
      </c>
      <c r="D28" s="4" t="e">
        <f t="shared" si="6"/>
        <v>#REF!</v>
      </c>
      <c r="E28" s="4" t="e">
        <f t="shared" si="6"/>
        <v>#REF!</v>
      </c>
      <c r="F28" s="4" t="e">
        <f>ROUND(F13/1,0)</f>
        <v>#REF!</v>
      </c>
      <c r="G28" s="4"/>
      <c r="H28" s="4"/>
    </row>
    <row r="29" spans="1:17" ht="43.2">
      <c r="A29" s="8" t="s">
        <v>106</v>
      </c>
      <c r="B29" s="4" t="e">
        <f t="shared" si="6"/>
        <v>#REF!</v>
      </c>
      <c r="C29" s="4" t="e">
        <f t="shared" si="6"/>
        <v>#REF!</v>
      </c>
      <c r="D29" s="4" t="e">
        <f t="shared" si="6"/>
        <v>#REF!</v>
      </c>
      <c r="E29" s="4" t="e">
        <f t="shared" si="6"/>
        <v>#REF!</v>
      </c>
      <c r="F29" s="4" t="e">
        <f>ROUND(F14/1,0)</f>
        <v>#REF!</v>
      </c>
      <c r="G29" s="4"/>
      <c r="H29" s="4"/>
    </row>
    <row r="30" spans="1:17">
      <c r="A30" s="32" t="s">
        <v>36</v>
      </c>
      <c r="B30" s="4" t="e">
        <f>ROUND(Apple!#REF!/1,0)</f>
        <v>#REF!</v>
      </c>
      <c r="C30" s="4" t="e">
        <f>ROUND(Meta!#REF!/1,0)</f>
        <v>#REF!</v>
      </c>
      <c r="D30" s="4" t="e">
        <f>ROUND(Alphabet!#REF!/1,0)</f>
        <v>#REF!</v>
      </c>
      <c r="E30" s="4" t="e">
        <f>ROUND(Microsoft!#REF!/1,0)</f>
        <v>#REF!</v>
      </c>
      <c r="F30" t="e">
        <f>SUM(Tabelle710[[#This Row],[Apple]:[Microsoft]])</f>
        <v>#REF!</v>
      </c>
    </row>
    <row r="31" spans="1:17">
      <c r="A31" s="32" t="s">
        <v>112</v>
      </c>
      <c r="B31" s="14">
        <f>ROUND(Apple!E29/1,0)</f>
        <v>65701773</v>
      </c>
      <c r="C31" s="14">
        <f>ROUND(Meta!E29/1,0)</f>
        <v>9218659</v>
      </c>
      <c r="D31" s="14">
        <f>ROUND(Alphabet!E29/1,0)</f>
        <v>46551522</v>
      </c>
      <c r="E31" s="14">
        <f>ROUND(Microsoft!D29/1,0)</f>
        <v>65396033</v>
      </c>
      <c r="F31">
        <f>SUM(Tabelle710[[#This Row],[Apple]:[Microsoft]])</f>
        <v>186867987</v>
      </c>
    </row>
    <row r="32" spans="1:17">
      <c r="A32" s="32" t="s">
        <v>113</v>
      </c>
      <c r="B32" s="36" t="e">
        <f>B31/B30</f>
        <v>#REF!</v>
      </c>
      <c r="C32" s="36" t="e">
        <f>C31/C30</f>
        <v>#REF!</v>
      </c>
      <c r="D32" s="36" t="e">
        <f>D31/D30</f>
        <v>#REF!</v>
      </c>
      <c r="E32" s="36" t="e">
        <f>E31/E30</f>
        <v>#REF!</v>
      </c>
      <c r="F32" s="36" t="e">
        <f>F31/F30</f>
        <v>#REF!</v>
      </c>
      <c r="G32" s="36"/>
      <c r="H32" s="36"/>
    </row>
    <row r="40" spans="1:8">
      <c r="B40" s="3" t="s">
        <v>76</v>
      </c>
      <c r="C40" s="3" t="s">
        <v>77</v>
      </c>
      <c r="D40" s="3" t="s">
        <v>78</v>
      </c>
      <c r="E40" s="3" t="s">
        <v>79</v>
      </c>
      <c r="F40" s="10" t="s">
        <v>80</v>
      </c>
      <c r="G40" s="10"/>
      <c r="H40" s="10"/>
    </row>
    <row r="41" spans="1:8">
      <c r="A41" s="32" t="s">
        <v>36</v>
      </c>
      <c r="B41">
        <v>2007</v>
      </c>
      <c r="C41">
        <v>908</v>
      </c>
      <c r="D41">
        <v>1384</v>
      </c>
      <c r="E41">
        <v>1299</v>
      </c>
      <c r="F41">
        <v>5598</v>
      </c>
    </row>
    <row r="42" spans="1:8">
      <c r="A42" s="32" t="s">
        <v>112</v>
      </c>
      <c r="B42">
        <v>66</v>
      </c>
      <c r="C42">
        <v>9</v>
      </c>
      <c r="D42">
        <v>47</v>
      </c>
      <c r="E42">
        <v>65</v>
      </c>
      <c r="F42">
        <v>196</v>
      </c>
    </row>
    <row r="43" spans="1:8">
      <c r="A43" s="32" t="s">
        <v>113</v>
      </c>
      <c r="B43" s="36">
        <v>3.28849028400598E-2</v>
      </c>
      <c r="C43" s="36">
        <v>9.9118942731277505E-3</v>
      </c>
      <c r="D43" s="36">
        <v>3.3959537572254297E-2</v>
      </c>
      <c r="E43" s="36">
        <v>5.00384911470362E-2</v>
      </c>
      <c r="F43" s="36">
        <v>3.5012504465880702E-2</v>
      </c>
      <c r="G43" s="36"/>
      <c r="H43" s="36"/>
    </row>
  </sheetData>
  <pageMargins left="0.7" right="0.7" top="0.78749999999999998" bottom="0.78749999999999998" header="0.51180555555555496" footer="0.51180555555555496"/>
  <pageSetup paperSize="9" firstPageNumber="0" orientation="portrait" horizontalDpi="300" verticalDpi="300"/>
  <tableParts count="2">
    <tablePart r:id="rId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16"/>
  <sheetViews>
    <sheetView zoomScaleNormal="100" workbookViewId="0">
      <selection activeCell="B112" sqref="B112"/>
    </sheetView>
  </sheetViews>
  <sheetFormatPr baseColWidth="10" defaultColWidth="10.5546875" defaultRowHeight="14.4"/>
  <cols>
    <col min="2" max="2" width="28.5546875" customWidth="1"/>
    <col min="3" max="3" width="15.88671875" customWidth="1"/>
    <col min="4" max="4" width="13.44140625" customWidth="1"/>
    <col min="5" max="5" width="13.21875" customWidth="1"/>
    <col min="6" max="6" width="20.6640625" customWidth="1"/>
  </cols>
  <sheetData>
    <row r="2" spans="1:6">
      <c r="B2" t="s">
        <v>114</v>
      </c>
    </row>
    <row r="3" spans="1:6" ht="28.8">
      <c r="A3" s="49" t="s">
        <v>115</v>
      </c>
      <c r="B3" s="49" t="s">
        <v>116</v>
      </c>
      <c r="C3" s="49" t="s">
        <v>117</v>
      </c>
      <c r="D3" s="49" t="s">
        <v>118</v>
      </c>
      <c r="E3" s="49" t="s">
        <v>119</v>
      </c>
      <c r="F3" s="50" t="s">
        <v>120</v>
      </c>
    </row>
    <row r="4" spans="1:6">
      <c r="A4" s="51">
        <v>1</v>
      </c>
      <c r="B4" s="3" t="s">
        <v>76</v>
      </c>
      <c r="C4" s="3" t="s">
        <v>121</v>
      </c>
      <c r="D4" s="42">
        <v>257.8</v>
      </c>
      <c r="E4" s="42">
        <v>56</v>
      </c>
      <c r="F4" s="27">
        <v>0.21729999999999999</v>
      </c>
    </row>
    <row r="5" spans="1:6">
      <c r="A5" s="52">
        <v>2</v>
      </c>
      <c r="B5" s="53" t="s">
        <v>122</v>
      </c>
      <c r="C5" s="53" t="s">
        <v>121</v>
      </c>
      <c r="D5" s="54">
        <v>215.3</v>
      </c>
      <c r="E5" s="54">
        <v>37.299999999999997</v>
      </c>
      <c r="F5" s="55">
        <v>0.1731</v>
      </c>
    </row>
    <row r="6" spans="1:6">
      <c r="A6" s="52">
        <v>3</v>
      </c>
      <c r="B6" s="53" t="s">
        <v>123</v>
      </c>
      <c r="C6" s="53" t="s">
        <v>124</v>
      </c>
      <c r="D6" s="54">
        <v>201.4</v>
      </c>
      <c r="E6" s="54">
        <v>43.2</v>
      </c>
      <c r="F6" s="55">
        <v>0.21460000000000001</v>
      </c>
    </row>
    <row r="7" spans="1:6">
      <c r="A7" s="51">
        <v>4</v>
      </c>
      <c r="B7" s="3" t="s">
        <v>125</v>
      </c>
      <c r="C7" s="3" t="s">
        <v>126</v>
      </c>
      <c r="D7" s="42">
        <v>176</v>
      </c>
      <c r="E7" s="42">
        <v>19.399999999999999</v>
      </c>
      <c r="F7" s="27">
        <v>0.1101</v>
      </c>
    </row>
    <row r="8" spans="1:6">
      <c r="A8" s="52">
        <v>5</v>
      </c>
      <c r="B8" s="53" t="s">
        <v>127</v>
      </c>
      <c r="C8" s="53" t="s">
        <v>128</v>
      </c>
      <c r="D8" s="54">
        <v>167.1</v>
      </c>
      <c r="E8" s="54">
        <v>40.200000000000003</v>
      </c>
      <c r="F8" s="55">
        <v>0.2404</v>
      </c>
    </row>
    <row r="9" spans="1:6">
      <c r="A9" s="51">
        <v>6</v>
      </c>
      <c r="B9" s="3" t="s">
        <v>129</v>
      </c>
      <c r="C9" s="3" t="s">
        <v>121</v>
      </c>
      <c r="D9" s="42">
        <v>160</v>
      </c>
      <c r="E9" s="42">
        <v>35.299999999999997</v>
      </c>
      <c r="F9" s="27">
        <v>0.22090000000000001</v>
      </c>
    </row>
    <row r="10" spans="1:6">
      <c r="A10" s="52">
        <v>7</v>
      </c>
      <c r="B10" s="53" t="s">
        <v>130</v>
      </c>
      <c r="C10" s="53" t="s">
        <v>128</v>
      </c>
      <c r="D10" s="54">
        <v>152.19999999999999</v>
      </c>
      <c r="E10" s="54">
        <v>34.5</v>
      </c>
      <c r="F10" s="55">
        <v>0.22650000000000001</v>
      </c>
    </row>
    <row r="11" spans="1:6">
      <c r="A11" s="51">
        <v>8</v>
      </c>
      <c r="B11" s="3" t="s">
        <v>131</v>
      </c>
      <c r="C11" s="3" t="s">
        <v>128</v>
      </c>
      <c r="D11" s="42">
        <v>148.30000000000001</v>
      </c>
      <c r="E11" s="42">
        <v>18.2</v>
      </c>
      <c r="F11" s="27">
        <v>0.123</v>
      </c>
    </row>
    <row r="12" spans="1:6">
      <c r="A12" s="52">
        <v>9</v>
      </c>
      <c r="B12" s="53" t="s">
        <v>132</v>
      </c>
      <c r="C12" s="53" t="s">
        <v>128</v>
      </c>
      <c r="D12" s="54">
        <v>135</v>
      </c>
      <c r="E12" s="54">
        <v>27.5</v>
      </c>
      <c r="F12" s="55">
        <v>0.2034</v>
      </c>
    </row>
    <row r="13" spans="1:6">
      <c r="A13" s="51">
        <v>10</v>
      </c>
      <c r="B13" s="3" t="s">
        <v>79</v>
      </c>
      <c r="C13" s="3" t="s">
        <v>121</v>
      </c>
      <c r="D13" s="42">
        <v>134.4</v>
      </c>
      <c r="E13" s="42">
        <v>45</v>
      </c>
      <c r="F13" s="27">
        <v>0.33460000000000001</v>
      </c>
    </row>
    <row r="14" spans="1:6">
      <c r="A14" s="52">
        <v>11</v>
      </c>
      <c r="B14" s="53" t="s">
        <v>133</v>
      </c>
      <c r="C14" s="53" t="s">
        <v>121</v>
      </c>
      <c r="D14" s="54">
        <v>119.4</v>
      </c>
      <c r="E14" s="54">
        <v>35.4</v>
      </c>
      <c r="F14" s="55">
        <v>0.29659999999999997</v>
      </c>
    </row>
    <row r="15" spans="1:6">
      <c r="A15" s="52">
        <v>12</v>
      </c>
      <c r="B15" s="53" t="s">
        <v>134</v>
      </c>
      <c r="C15" s="53" t="s">
        <v>128</v>
      </c>
      <c r="D15" s="54">
        <v>117.5</v>
      </c>
      <c r="E15" s="54">
        <v>24.5</v>
      </c>
      <c r="F15" s="55">
        <v>0.2082</v>
      </c>
    </row>
    <row r="16" spans="1:6">
      <c r="A16" s="51">
        <v>13</v>
      </c>
      <c r="B16" s="3" t="s">
        <v>135</v>
      </c>
      <c r="C16" s="3" t="s">
        <v>121</v>
      </c>
      <c r="D16" s="42">
        <v>112.5</v>
      </c>
      <c r="E16" s="42">
        <v>15.6</v>
      </c>
      <c r="F16" s="27">
        <v>0.13869999999999999</v>
      </c>
    </row>
    <row r="17" spans="1:6">
      <c r="A17" s="51">
        <v>14</v>
      </c>
      <c r="B17" s="3" t="s">
        <v>136</v>
      </c>
      <c r="C17" s="3" t="s">
        <v>137</v>
      </c>
      <c r="D17" s="42">
        <v>97.6</v>
      </c>
      <c r="E17" s="42">
        <v>13.7</v>
      </c>
      <c r="F17" s="27">
        <v>0.14019999999999999</v>
      </c>
    </row>
    <row r="18" spans="1:6">
      <c r="A18" s="51">
        <v>15</v>
      </c>
      <c r="B18" s="3" t="s">
        <v>138</v>
      </c>
      <c r="C18" s="3" t="s">
        <v>121</v>
      </c>
      <c r="D18" s="42">
        <v>96.1</v>
      </c>
      <c r="E18" s="42">
        <v>10.3</v>
      </c>
      <c r="F18" s="27">
        <v>0.1077</v>
      </c>
    </row>
    <row r="19" spans="1:6">
      <c r="A19" s="51">
        <v>16</v>
      </c>
      <c r="B19" s="3" t="s">
        <v>139</v>
      </c>
      <c r="C19" s="3" t="s">
        <v>121</v>
      </c>
      <c r="D19" s="42">
        <v>90.9</v>
      </c>
      <c r="E19" s="42">
        <v>9.1999999999999993</v>
      </c>
      <c r="F19" s="27">
        <v>0.1014</v>
      </c>
    </row>
    <row r="20" spans="1:6">
      <c r="A20" s="52">
        <v>17</v>
      </c>
      <c r="B20" s="53" t="s">
        <v>140</v>
      </c>
      <c r="C20" s="53" t="s">
        <v>121</v>
      </c>
      <c r="D20" s="54">
        <v>86.6</v>
      </c>
      <c r="E20" s="54">
        <v>15.7</v>
      </c>
      <c r="F20" s="55">
        <v>0.1812</v>
      </c>
    </row>
    <row r="21" spans="1:6">
      <c r="A21" s="51">
        <v>18</v>
      </c>
      <c r="B21" s="3" t="s">
        <v>141</v>
      </c>
      <c r="C21" s="3" t="s">
        <v>128</v>
      </c>
      <c r="D21" s="42">
        <v>82.3</v>
      </c>
      <c r="E21" s="42">
        <v>20.399999999999999</v>
      </c>
      <c r="F21" s="27">
        <v>0.24840000000000001</v>
      </c>
    </row>
    <row r="22" spans="1:6">
      <c r="A22" s="51">
        <v>19</v>
      </c>
      <c r="B22" s="3" t="s">
        <v>142</v>
      </c>
      <c r="C22" s="3" t="s">
        <v>143</v>
      </c>
      <c r="D22" s="42">
        <v>78.8</v>
      </c>
      <c r="E22" s="42">
        <v>11.4</v>
      </c>
      <c r="F22" s="27">
        <v>0.14460000000000001</v>
      </c>
    </row>
    <row r="23" spans="1:6">
      <c r="A23" s="51">
        <v>20</v>
      </c>
      <c r="B23" s="3" t="s">
        <v>77</v>
      </c>
      <c r="C23" s="3" t="s">
        <v>121</v>
      </c>
      <c r="D23" s="42">
        <v>75.400000000000006</v>
      </c>
      <c r="E23" s="42">
        <v>25.5</v>
      </c>
      <c r="F23" s="27">
        <v>0.33839999999999998</v>
      </c>
    </row>
    <row r="24" spans="1:6">
      <c r="A24" s="52">
        <v>21</v>
      </c>
      <c r="B24" s="53" t="s">
        <v>144</v>
      </c>
      <c r="C24" s="53" t="s">
        <v>121</v>
      </c>
      <c r="D24" s="54">
        <v>74</v>
      </c>
      <c r="E24" s="54">
        <v>15</v>
      </c>
      <c r="F24" s="55">
        <v>0.2026</v>
      </c>
    </row>
    <row r="25" spans="1:6">
      <c r="A25" s="51">
        <v>22</v>
      </c>
      <c r="B25" s="3" t="s">
        <v>145</v>
      </c>
      <c r="C25" s="3" t="s">
        <v>121</v>
      </c>
      <c r="D25" s="42">
        <v>72.400000000000006</v>
      </c>
      <c r="E25" s="42">
        <v>12.9</v>
      </c>
      <c r="F25" s="27">
        <v>0.17799999999999999</v>
      </c>
    </row>
    <row r="26" spans="1:6">
      <c r="A26" s="51">
        <v>23</v>
      </c>
      <c r="B26" s="3" t="s">
        <v>146</v>
      </c>
      <c r="C26" s="3" t="s">
        <v>147</v>
      </c>
      <c r="D26" s="42">
        <v>70.099999999999994</v>
      </c>
      <c r="E26" s="42">
        <v>8.9</v>
      </c>
      <c r="F26" s="27">
        <v>0.12640000000000001</v>
      </c>
    </row>
    <row r="27" spans="1:6">
      <c r="A27" s="51">
        <v>24</v>
      </c>
      <c r="B27" s="3" t="s">
        <v>148</v>
      </c>
      <c r="C27" s="3" t="s">
        <v>121</v>
      </c>
      <c r="D27" s="42">
        <v>68.3</v>
      </c>
      <c r="E27" s="42">
        <v>18.3</v>
      </c>
      <c r="F27" s="27">
        <v>0.26829999999999998</v>
      </c>
    </row>
    <row r="28" spans="1:6">
      <c r="A28" s="51">
        <v>25</v>
      </c>
      <c r="B28" s="3" t="s">
        <v>149</v>
      </c>
      <c r="C28" s="3" t="s">
        <v>121</v>
      </c>
      <c r="D28" s="42">
        <v>64.900000000000006</v>
      </c>
      <c r="E28" s="42">
        <v>12.1</v>
      </c>
      <c r="F28" s="27">
        <v>0.1865</v>
      </c>
    </row>
    <row r="29" spans="1:6">
      <c r="A29" s="51">
        <v>26</v>
      </c>
      <c r="B29" s="3" t="s">
        <v>150</v>
      </c>
      <c r="C29" s="3" t="s">
        <v>121</v>
      </c>
      <c r="D29" s="42">
        <v>62.5</v>
      </c>
      <c r="E29" s="42">
        <v>6.6</v>
      </c>
      <c r="F29" s="27">
        <v>0.1052</v>
      </c>
    </row>
    <row r="30" spans="1:6">
      <c r="A30" s="51">
        <v>27</v>
      </c>
      <c r="B30" s="3" t="s">
        <v>151</v>
      </c>
      <c r="C30" s="3" t="s">
        <v>137</v>
      </c>
      <c r="D30" s="42">
        <v>62.5</v>
      </c>
      <c r="E30" s="42">
        <v>6.4</v>
      </c>
      <c r="F30" s="27">
        <v>0.1024</v>
      </c>
    </row>
    <row r="31" spans="1:6">
      <c r="A31" s="51">
        <v>28</v>
      </c>
      <c r="B31" s="3" t="s">
        <v>152</v>
      </c>
      <c r="C31" s="3" t="s">
        <v>147</v>
      </c>
      <c r="D31" s="42">
        <v>61.7</v>
      </c>
      <c r="E31" s="42">
        <v>13.1</v>
      </c>
      <c r="F31" s="27">
        <v>0.21190000000000001</v>
      </c>
    </row>
    <row r="32" spans="1:6">
      <c r="A32" s="51">
        <v>29</v>
      </c>
      <c r="B32" s="3" t="s">
        <v>153</v>
      </c>
      <c r="C32" s="3" t="s">
        <v>128</v>
      </c>
      <c r="D32" s="42">
        <v>61.4</v>
      </c>
      <c r="E32" s="42">
        <v>20.399999999999999</v>
      </c>
      <c r="F32" s="27">
        <v>0.33289999999999997</v>
      </c>
    </row>
    <row r="33" spans="1:6">
      <c r="A33" s="51">
        <v>30</v>
      </c>
      <c r="B33" s="3" t="s">
        <v>154</v>
      </c>
      <c r="C33" s="3" t="s">
        <v>121</v>
      </c>
      <c r="D33" s="42">
        <v>60.2</v>
      </c>
      <c r="E33" s="42">
        <v>6.4</v>
      </c>
      <c r="F33" s="27">
        <v>0.10630000000000001</v>
      </c>
    </row>
    <row r="34" spans="1:6">
      <c r="A34" s="52">
        <v>31</v>
      </c>
      <c r="B34" s="53" t="s">
        <v>155</v>
      </c>
      <c r="C34" s="53" t="s">
        <v>128</v>
      </c>
      <c r="D34" s="54">
        <v>59.3</v>
      </c>
      <c r="E34" s="54">
        <v>9.6999999999999993</v>
      </c>
      <c r="F34" s="55">
        <v>0.16420000000000001</v>
      </c>
    </row>
    <row r="35" spans="1:6">
      <c r="A35" s="52">
        <v>32</v>
      </c>
      <c r="B35" s="53" t="s">
        <v>156</v>
      </c>
      <c r="C35" s="53" t="s">
        <v>128</v>
      </c>
      <c r="D35" s="54">
        <v>58.9</v>
      </c>
      <c r="E35" s="54">
        <v>8.1999999999999993</v>
      </c>
      <c r="F35" s="55">
        <v>0.1384</v>
      </c>
    </row>
    <row r="36" spans="1:6">
      <c r="A36" s="51">
        <v>33</v>
      </c>
      <c r="B36" s="3" t="s">
        <v>157</v>
      </c>
      <c r="C36" s="3" t="s">
        <v>121</v>
      </c>
      <c r="D36" s="42">
        <v>57.4</v>
      </c>
      <c r="E36" s="42">
        <v>6</v>
      </c>
      <c r="F36" s="27">
        <v>0.104</v>
      </c>
    </row>
    <row r="37" spans="1:6">
      <c r="A37" s="51">
        <v>34</v>
      </c>
      <c r="B37" s="3" t="s">
        <v>158</v>
      </c>
      <c r="C37" s="3" t="s">
        <v>143</v>
      </c>
      <c r="D37" s="42">
        <v>54.5</v>
      </c>
      <c r="E37" s="42">
        <v>13.3</v>
      </c>
      <c r="F37" s="27">
        <v>0.24479999999999999</v>
      </c>
    </row>
    <row r="38" spans="1:6">
      <c r="A38" s="52">
        <v>35</v>
      </c>
      <c r="B38" s="53" t="s">
        <v>159</v>
      </c>
      <c r="C38" s="53" t="s">
        <v>121</v>
      </c>
      <c r="D38" s="54">
        <v>54.2</v>
      </c>
      <c r="E38" s="54">
        <v>13.2</v>
      </c>
      <c r="F38" s="55">
        <v>0.24429999999999999</v>
      </c>
    </row>
    <row r="39" spans="1:6">
      <c r="A39" s="52">
        <v>36</v>
      </c>
      <c r="B39" s="53" t="s">
        <v>160</v>
      </c>
      <c r="C39" s="53" t="s">
        <v>128</v>
      </c>
      <c r="D39" s="54">
        <v>53</v>
      </c>
      <c r="E39" s="54">
        <v>12.4</v>
      </c>
      <c r="F39" s="55">
        <v>0.2334</v>
      </c>
    </row>
    <row r="40" spans="1:6">
      <c r="A40" s="51">
        <v>37</v>
      </c>
      <c r="B40" s="3" t="s">
        <v>161</v>
      </c>
      <c r="C40" s="3" t="s">
        <v>162</v>
      </c>
      <c r="D40" s="42">
        <v>50.7</v>
      </c>
      <c r="E40" s="42">
        <v>5.5</v>
      </c>
      <c r="F40" s="27">
        <v>0.109</v>
      </c>
    </row>
    <row r="41" spans="1:6">
      <c r="A41" s="52">
        <v>38</v>
      </c>
      <c r="B41" s="53" t="s">
        <v>163</v>
      </c>
      <c r="C41" s="53" t="s">
        <v>121</v>
      </c>
      <c r="D41" s="54">
        <v>49.7</v>
      </c>
      <c r="E41" s="54">
        <v>11.8</v>
      </c>
      <c r="F41" s="55">
        <v>0.23630000000000001</v>
      </c>
    </row>
    <row r="42" spans="1:6">
      <c r="A42" s="52">
        <v>39</v>
      </c>
      <c r="B42" s="53" t="s">
        <v>164</v>
      </c>
      <c r="C42" s="53" t="s">
        <v>128</v>
      </c>
      <c r="D42" s="54">
        <v>47.2</v>
      </c>
      <c r="E42" s="54">
        <v>8.5</v>
      </c>
      <c r="F42" s="55">
        <v>0.18029999999999999</v>
      </c>
    </row>
    <row r="43" spans="1:6">
      <c r="A43" s="52">
        <v>40</v>
      </c>
      <c r="B43" s="53" t="s">
        <v>165</v>
      </c>
      <c r="C43" s="53" t="s">
        <v>128</v>
      </c>
      <c r="D43" s="54">
        <v>45.9</v>
      </c>
      <c r="E43" s="54">
        <v>7.5</v>
      </c>
      <c r="F43" s="55">
        <v>0.16250000000000001</v>
      </c>
    </row>
    <row r="44" spans="1:6">
      <c r="A44" s="51">
        <v>41</v>
      </c>
      <c r="B44" s="3" t="s">
        <v>166</v>
      </c>
      <c r="C44" s="3" t="s">
        <v>167</v>
      </c>
      <c r="D44" s="42">
        <v>44.6</v>
      </c>
      <c r="E44" s="42">
        <v>4.7</v>
      </c>
      <c r="F44" s="27">
        <v>0.1061</v>
      </c>
    </row>
    <row r="45" spans="1:6">
      <c r="A45" s="52">
        <v>42</v>
      </c>
      <c r="B45" s="53" t="s">
        <v>168</v>
      </c>
      <c r="C45" s="53" t="s">
        <v>128</v>
      </c>
      <c r="D45" s="54">
        <v>44.2</v>
      </c>
      <c r="E45" s="54">
        <v>6.2</v>
      </c>
      <c r="F45" s="55">
        <v>0.1409</v>
      </c>
    </row>
    <row r="46" spans="1:6">
      <c r="A46" s="51">
        <v>43</v>
      </c>
      <c r="B46" s="3" t="s">
        <v>169</v>
      </c>
      <c r="C46" s="3" t="s">
        <v>147</v>
      </c>
      <c r="D46" s="42">
        <v>43.2</v>
      </c>
      <c r="E46" s="42">
        <v>5.4</v>
      </c>
      <c r="F46" s="27">
        <v>0.1258</v>
      </c>
    </row>
    <row r="47" spans="1:6">
      <c r="A47" s="52">
        <v>44</v>
      </c>
      <c r="B47" s="53" t="s">
        <v>170</v>
      </c>
      <c r="C47" s="53" t="s">
        <v>128</v>
      </c>
      <c r="D47" s="54">
        <v>43</v>
      </c>
      <c r="E47" s="54">
        <v>4.3</v>
      </c>
      <c r="F47" s="55">
        <v>0.1</v>
      </c>
    </row>
    <row r="48" spans="1:6">
      <c r="A48" s="51">
        <v>45</v>
      </c>
      <c r="B48" s="3" t="s">
        <v>171</v>
      </c>
      <c r="C48" s="3" t="s">
        <v>143</v>
      </c>
      <c r="D48" s="42">
        <v>42.6</v>
      </c>
      <c r="E48" s="42">
        <v>7.1</v>
      </c>
      <c r="F48" s="27">
        <v>0.16669999999999999</v>
      </c>
    </row>
    <row r="49" spans="1:6">
      <c r="A49" s="51">
        <v>46</v>
      </c>
      <c r="B49" s="3" t="s">
        <v>172</v>
      </c>
      <c r="C49" s="3" t="s">
        <v>167</v>
      </c>
      <c r="D49" s="42">
        <v>42.3</v>
      </c>
      <c r="E49" s="42">
        <v>4.8</v>
      </c>
      <c r="F49" s="27">
        <v>0.11409999999999999</v>
      </c>
    </row>
    <row r="50" spans="1:6">
      <c r="A50" s="51">
        <v>47</v>
      </c>
      <c r="B50" s="3" t="s">
        <v>173</v>
      </c>
      <c r="C50" s="3" t="s">
        <v>174</v>
      </c>
      <c r="D50" s="42">
        <v>42.2</v>
      </c>
      <c r="E50" s="42">
        <v>16.399999999999999</v>
      </c>
      <c r="F50" s="27">
        <v>0.38879999999999998</v>
      </c>
    </row>
    <row r="51" spans="1:6">
      <c r="A51" s="51">
        <v>48</v>
      </c>
      <c r="B51" s="3" t="s">
        <v>175</v>
      </c>
      <c r="C51" s="3" t="s">
        <v>121</v>
      </c>
      <c r="D51" s="42">
        <v>42.1</v>
      </c>
      <c r="E51" s="42">
        <v>8.9</v>
      </c>
      <c r="F51" s="27">
        <v>0.2104</v>
      </c>
    </row>
    <row r="52" spans="1:6">
      <c r="A52" s="51">
        <v>49</v>
      </c>
      <c r="B52" s="3" t="s">
        <v>176</v>
      </c>
      <c r="C52" s="3" t="s">
        <v>121</v>
      </c>
      <c r="D52" s="42">
        <v>41.9</v>
      </c>
      <c r="E52" s="42">
        <v>6.2</v>
      </c>
      <c r="F52" s="27">
        <v>0.14849999999999999</v>
      </c>
    </row>
    <row r="53" spans="1:6">
      <c r="A53" s="51">
        <v>50</v>
      </c>
      <c r="B53" s="3" t="s">
        <v>177</v>
      </c>
      <c r="C53" s="3" t="s">
        <v>121</v>
      </c>
      <c r="D53" s="42">
        <v>41.7</v>
      </c>
      <c r="E53" s="42">
        <v>8.4</v>
      </c>
      <c r="F53" s="27">
        <v>0.20169999999999999</v>
      </c>
    </row>
    <row r="54" spans="1:6">
      <c r="A54" s="52">
        <v>51</v>
      </c>
      <c r="B54" s="53" t="s">
        <v>178</v>
      </c>
      <c r="C54" s="53" t="s">
        <v>179</v>
      </c>
      <c r="D54" s="54">
        <v>41.5</v>
      </c>
      <c r="E54" s="54">
        <v>9.1</v>
      </c>
      <c r="F54" s="55">
        <v>0.21990000000000001</v>
      </c>
    </row>
    <row r="55" spans="1:6">
      <c r="A55" s="51">
        <v>52</v>
      </c>
      <c r="B55" s="3" t="s">
        <v>180</v>
      </c>
      <c r="C55" s="3" t="s">
        <v>181</v>
      </c>
      <c r="D55" s="42">
        <v>40.4</v>
      </c>
      <c r="E55" s="42">
        <v>6.1</v>
      </c>
      <c r="F55" s="27">
        <v>0.1497</v>
      </c>
    </row>
    <row r="56" spans="1:6">
      <c r="A56" s="51">
        <v>53</v>
      </c>
      <c r="B56" s="3" t="s">
        <v>182</v>
      </c>
      <c r="C56" s="3" t="s">
        <v>121</v>
      </c>
      <c r="D56" s="42">
        <v>40.200000000000003</v>
      </c>
      <c r="E56" s="42">
        <v>4</v>
      </c>
      <c r="F56" s="27">
        <v>0.1004</v>
      </c>
    </row>
    <row r="57" spans="1:6">
      <c r="A57" s="51">
        <v>54</v>
      </c>
      <c r="B57" s="3" t="s">
        <v>183</v>
      </c>
      <c r="C57" s="3" t="s">
        <v>184</v>
      </c>
      <c r="D57" s="42">
        <v>40.1</v>
      </c>
      <c r="E57" s="42">
        <v>4.8</v>
      </c>
      <c r="F57" s="27">
        <v>0.12039999999999999</v>
      </c>
    </row>
    <row r="58" spans="1:6">
      <c r="A58" s="51">
        <v>55</v>
      </c>
      <c r="B58" s="3" t="s">
        <v>185</v>
      </c>
      <c r="C58" s="3" t="s">
        <v>121</v>
      </c>
      <c r="D58" s="42">
        <v>39.299999999999997</v>
      </c>
      <c r="E58" s="42">
        <v>4.9000000000000004</v>
      </c>
      <c r="F58" s="27">
        <v>0.125</v>
      </c>
    </row>
    <row r="59" spans="1:6">
      <c r="A59" s="51">
        <v>56</v>
      </c>
      <c r="B59" s="3" t="s">
        <v>186</v>
      </c>
      <c r="C59" s="3" t="s">
        <v>187</v>
      </c>
      <c r="D59" s="42">
        <v>39</v>
      </c>
      <c r="E59" s="42">
        <v>8.5</v>
      </c>
      <c r="F59" s="27">
        <v>0.218</v>
      </c>
    </row>
    <row r="60" spans="1:6">
      <c r="A60" s="51">
        <v>57</v>
      </c>
      <c r="B60" s="3" t="s">
        <v>188</v>
      </c>
      <c r="C60" s="3" t="s">
        <v>162</v>
      </c>
      <c r="D60" s="42">
        <v>38.299999999999997</v>
      </c>
      <c r="E60" s="42">
        <v>6.5</v>
      </c>
      <c r="F60" s="27">
        <v>0.16930000000000001</v>
      </c>
    </row>
    <row r="61" spans="1:6">
      <c r="A61" s="52">
        <v>58</v>
      </c>
      <c r="B61" s="53" t="s">
        <v>189</v>
      </c>
      <c r="C61" s="53" t="s">
        <v>190</v>
      </c>
      <c r="D61" s="54">
        <v>37.6</v>
      </c>
      <c r="E61" s="54">
        <v>7.7</v>
      </c>
      <c r="F61" s="55">
        <v>0.2051</v>
      </c>
    </row>
    <row r="62" spans="1:6">
      <c r="A62" s="51">
        <v>59</v>
      </c>
      <c r="B62" s="3" t="s">
        <v>191</v>
      </c>
      <c r="C62" s="3" t="s">
        <v>137</v>
      </c>
      <c r="D62" s="42">
        <v>37.4</v>
      </c>
      <c r="E62" s="42">
        <v>5.0999999999999996</v>
      </c>
      <c r="F62" s="27">
        <v>0.13619999999999999</v>
      </c>
    </row>
    <row r="63" spans="1:6">
      <c r="A63" s="51">
        <v>60</v>
      </c>
      <c r="B63" s="3" t="s">
        <v>192</v>
      </c>
      <c r="C63" s="3" t="s">
        <v>121</v>
      </c>
      <c r="D63" s="42">
        <v>37.4</v>
      </c>
      <c r="E63" s="42">
        <v>5</v>
      </c>
      <c r="F63" s="27">
        <v>0.1338</v>
      </c>
    </row>
    <row r="64" spans="1:6">
      <c r="A64" s="51">
        <v>61</v>
      </c>
      <c r="B64" s="3" t="s">
        <v>193</v>
      </c>
      <c r="C64" s="3" t="s">
        <v>167</v>
      </c>
      <c r="D64" s="42">
        <v>36</v>
      </c>
      <c r="E64" s="42">
        <v>12.3</v>
      </c>
      <c r="F64" s="27">
        <v>0.34060000000000001</v>
      </c>
    </row>
    <row r="65" spans="1:6">
      <c r="A65" s="51">
        <v>62</v>
      </c>
      <c r="B65" s="3" t="s">
        <v>194</v>
      </c>
      <c r="C65" s="3" t="s">
        <v>195</v>
      </c>
      <c r="D65" s="42">
        <v>35.4</v>
      </c>
      <c r="E65" s="42">
        <v>4.5999999999999996</v>
      </c>
      <c r="F65" s="27">
        <v>0.12870000000000001</v>
      </c>
    </row>
    <row r="66" spans="1:6">
      <c r="A66" s="51">
        <v>63</v>
      </c>
      <c r="B66" s="3" t="s">
        <v>196</v>
      </c>
      <c r="C66" s="3" t="s">
        <v>121</v>
      </c>
      <c r="D66" s="42">
        <v>34.799999999999997</v>
      </c>
      <c r="E66" s="42">
        <v>11.2</v>
      </c>
      <c r="F66" s="27">
        <v>0.32240000000000002</v>
      </c>
    </row>
    <row r="67" spans="1:6">
      <c r="A67" s="52">
        <v>64</v>
      </c>
      <c r="B67" s="53" t="s">
        <v>197</v>
      </c>
      <c r="C67" s="53" t="s">
        <v>190</v>
      </c>
      <c r="D67" s="54">
        <v>34</v>
      </c>
      <c r="E67" s="54">
        <v>8</v>
      </c>
      <c r="F67" s="55">
        <v>0.23449999999999999</v>
      </c>
    </row>
    <row r="68" spans="1:6">
      <c r="A68" s="52">
        <v>65</v>
      </c>
      <c r="B68" s="53" t="s">
        <v>198</v>
      </c>
      <c r="C68" s="53" t="s">
        <v>147</v>
      </c>
      <c r="D68" s="54">
        <v>33.9</v>
      </c>
      <c r="E68" s="54">
        <v>4.3</v>
      </c>
      <c r="F68" s="55">
        <v>0.12690000000000001</v>
      </c>
    </row>
    <row r="69" spans="1:6">
      <c r="A69" s="51">
        <v>66</v>
      </c>
      <c r="B69" s="3" t="s">
        <v>199</v>
      </c>
      <c r="C69" s="3" t="s">
        <v>200</v>
      </c>
      <c r="D69" s="42">
        <v>33.200000000000003</v>
      </c>
      <c r="E69" s="42">
        <v>3.6</v>
      </c>
      <c r="F69" s="27">
        <v>0.1085</v>
      </c>
    </row>
    <row r="70" spans="1:6">
      <c r="A70" s="52">
        <v>67</v>
      </c>
      <c r="B70" s="53" t="s">
        <v>201</v>
      </c>
      <c r="C70" s="53" t="s">
        <v>128</v>
      </c>
      <c r="D70" s="54">
        <v>32.5</v>
      </c>
      <c r="E70" s="54">
        <v>4.8</v>
      </c>
      <c r="F70" s="55">
        <v>0.1482</v>
      </c>
    </row>
    <row r="71" spans="1:6">
      <c r="A71" s="51">
        <v>68</v>
      </c>
      <c r="B71" s="3" t="s">
        <v>202</v>
      </c>
      <c r="C71" s="3" t="s">
        <v>121</v>
      </c>
      <c r="D71" s="42">
        <v>30.3</v>
      </c>
      <c r="E71" s="42">
        <v>3.9</v>
      </c>
      <c r="F71" s="27">
        <v>0.13009999999999999</v>
      </c>
    </row>
    <row r="72" spans="1:6">
      <c r="A72" s="51">
        <v>69</v>
      </c>
      <c r="B72" s="3" t="s">
        <v>203</v>
      </c>
      <c r="C72" s="3" t="s">
        <v>137</v>
      </c>
      <c r="D72" s="42">
        <v>30.1</v>
      </c>
      <c r="E72" s="42">
        <v>3.3</v>
      </c>
      <c r="F72" s="27">
        <v>0.1108</v>
      </c>
    </row>
    <row r="73" spans="1:6">
      <c r="A73" s="51">
        <v>70</v>
      </c>
      <c r="B73" s="3" t="s">
        <v>204</v>
      </c>
      <c r="C73" s="3" t="s">
        <v>128</v>
      </c>
      <c r="D73" s="42">
        <v>29.9</v>
      </c>
      <c r="E73" s="42">
        <v>4.5999999999999996</v>
      </c>
      <c r="F73" s="27">
        <v>0.1525</v>
      </c>
    </row>
    <row r="74" spans="1:6">
      <c r="A74" s="51">
        <v>71</v>
      </c>
      <c r="B74" s="3" t="s">
        <v>205</v>
      </c>
      <c r="C74" s="3" t="s">
        <v>128</v>
      </c>
      <c r="D74" s="42">
        <v>29.7</v>
      </c>
      <c r="E74" s="42">
        <v>4.5999999999999996</v>
      </c>
      <c r="F74" s="27">
        <v>0.15340000000000001</v>
      </c>
    </row>
    <row r="75" spans="1:6">
      <c r="A75" s="51">
        <v>72</v>
      </c>
      <c r="B75" s="3" t="s">
        <v>206</v>
      </c>
      <c r="C75" s="3" t="s">
        <v>121</v>
      </c>
      <c r="D75" s="42">
        <v>29</v>
      </c>
      <c r="E75" s="42">
        <v>7.2</v>
      </c>
      <c r="F75" s="27">
        <v>0.2477</v>
      </c>
    </row>
    <row r="76" spans="1:6">
      <c r="A76" s="51">
        <v>73</v>
      </c>
      <c r="B76" s="3" t="s">
        <v>207</v>
      </c>
      <c r="C76" s="3" t="s">
        <v>121</v>
      </c>
      <c r="D76" s="42">
        <v>28.9</v>
      </c>
      <c r="E76" s="42">
        <v>6.8</v>
      </c>
      <c r="F76" s="27">
        <v>0.23330000000000001</v>
      </c>
    </row>
    <row r="77" spans="1:6">
      <c r="A77" s="51">
        <v>74</v>
      </c>
      <c r="B77" s="3" t="s">
        <v>208</v>
      </c>
      <c r="C77" s="3" t="s">
        <v>121</v>
      </c>
      <c r="D77" s="42">
        <v>28.6</v>
      </c>
      <c r="E77" s="42">
        <v>4.2</v>
      </c>
      <c r="F77" s="27">
        <v>0.1472</v>
      </c>
    </row>
    <row r="78" spans="1:6">
      <c r="A78" s="52">
        <v>75</v>
      </c>
      <c r="B78" s="53" t="s">
        <v>209</v>
      </c>
      <c r="C78" s="53" t="s">
        <v>143</v>
      </c>
      <c r="D78" s="54">
        <v>28.2</v>
      </c>
      <c r="E78" s="54">
        <v>5.7</v>
      </c>
      <c r="F78" s="55">
        <v>0.2019</v>
      </c>
    </row>
    <row r="79" spans="1:6">
      <c r="A79" s="51">
        <v>76</v>
      </c>
      <c r="B79" s="3" t="s">
        <v>210</v>
      </c>
      <c r="C79" s="3" t="s">
        <v>121</v>
      </c>
      <c r="D79" s="42">
        <v>28.2</v>
      </c>
      <c r="E79" s="42">
        <v>5.6</v>
      </c>
      <c r="F79" s="27">
        <v>0.1988</v>
      </c>
    </row>
    <row r="80" spans="1:6">
      <c r="A80" s="51">
        <v>77</v>
      </c>
      <c r="B80" s="3" t="s">
        <v>211</v>
      </c>
      <c r="C80" s="3" t="s">
        <v>121</v>
      </c>
      <c r="D80" s="42">
        <v>28.2</v>
      </c>
      <c r="E80" s="42">
        <v>4.7</v>
      </c>
      <c r="F80" s="27">
        <v>0.16769999999999999</v>
      </c>
    </row>
    <row r="81" spans="1:6">
      <c r="A81" s="51">
        <v>78</v>
      </c>
      <c r="B81" s="3" t="s">
        <v>212</v>
      </c>
      <c r="C81" s="3" t="s">
        <v>167</v>
      </c>
      <c r="D81" s="42">
        <v>28</v>
      </c>
      <c r="E81" s="42">
        <v>3.6</v>
      </c>
      <c r="F81" s="27">
        <v>0.1285</v>
      </c>
    </row>
    <row r="82" spans="1:6">
      <c r="A82" s="51">
        <v>79</v>
      </c>
      <c r="B82" s="3" t="s">
        <v>108</v>
      </c>
      <c r="C82" s="3" t="s">
        <v>213</v>
      </c>
      <c r="D82" s="42">
        <v>27.8</v>
      </c>
      <c r="E82" s="42">
        <v>5.5</v>
      </c>
      <c r="F82" s="27">
        <v>0.19869999999999999</v>
      </c>
    </row>
    <row r="83" spans="1:6">
      <c r="A83" s="52">
        <v>80</v>
      </c>
      <c r="B83" s="53" t="s">
        <v>214</v>
      </c>
      <c r="C83" s="53" t="s">
        <v>190</v>
      </c>
      <c r="D83" s="54">
        <v>26.9</v>
      </c>
      <c r="E83" s="54">
        <v>4.5</v>
      </c>
      <c r="F83" s="55">
        <v>0.1661</v>
      </c>
    </row>
    <row r="84" spans="1:6">
      <c r="A84" s="52">
        <v>81</v>
      </c>
      <c r="B84" s="53" t="s">
        <v>215</v>
      </c>
      <c r="C84" s="53" t="s">
        <v>147</v>
      </c>
      <c r="D84" s="54">
        <v>26.6</v>
      </c>
      <c r="E84" s="54">
        <v>3.2</v>
      </c>
      <c r="F84" s="55">
        <v>0.1221</v>
      </c>
    </row>
    <row r="85" spans="1:6">
      <c r="A85" s="51">
        <v>82</v>
      </c>
      <c r="B85" s="3" t="s">
        <v>216</v>
      </c>
      <c r="C85" s="3" t="s">
        <v>121</v>
      </c>
      <c r="D85" s="42">
        <v>25.2</v>
      </c>
      <c r="E85" s="42">
        <v>7</v>
      </c>
      <c r="F85" s="27">
        <v>0.2787</v>
      </c>
    </row>
    <row r="86" spans="1:6">
      <c r="A86" s="51">
        <v>83</v>
      </c>
      <c r="B86" s="3" t="s">
        <v>217</v>
      </c>
      <c r="C86" s="3" t="s">
        <v>184</v>
      </c>
      <c r="D86" s="42">
        <v>24.5</v>
      </c>
      <c r="E86" s="42">
        <v>2.5</v>
      </c>
      <c r="F86" s="27">
        <v>0.10390000000000001</v>
      </c>
    </row>
    <row r="87" spans="1:6">
      <c r="A87" s="51">
        <v>84</v>
      </c>
      <c r="B87" s="3" t="s">
        <v>218</v>
      </c>
      <c r="C87" s="3" t="s">
        <v>162</v>
      </c>
      <c r="D87" s="42">
        <v>24.3</v>
      </c>
      <c r="E87" s="42">
        <v>2.8</v>
      </c>
      <c r="F87" s="27">
        <v>0.11550000000000001</v>
      </c>
    </row>
    <row r="88" spans="1:6">
      <c r="A88" s="51">
        <v>85</v>
      </c>
      <c r="B88" s="3" t="s">
        <v>219</v>
      </c>
      <c r="C88" s="3" t="s">
        <v>137</v>
      </c>
      <c r="D88" s="42">
        <v>23.8</v>
      </c>
      <c r="E88" s="42">
        <v>3.8</v>
      </c>
      <c r="F88" s="27">
        <v>0.15870000000000001</v>
      </c>
    </row>
    <row r="89" spans="1:6">
      <c r="A89" s="51">
        <v>86</v>
      </c>
      <c r="B89" s="3" t="s">
        <v>220</v>
      </c>
      <c r="C89" s="3" t="s">
        <v>126</v>
      </c>
      <c r="D89" s="42">
        <v>23.7</v>
      </c>
      <c r="E89" s="42">
        <v>3.5</v>
      </c>
      <c r="F89" s="27">
        <v>0.14810000000000001</v>
      </c>
    </row>
    <row r="90" spans="1:6">
      <c r="A90" s="51">
        <v>87</v>
      </c>
      <c r="B90" s="3" t="s">
        <v>221</v>
      </c>
      <c r="C90" s="3" t="s">
        <v>128</v>
      </c>
      <c r="D90" s="42">
        <v>23.7</v>
      </c>
      <c r="E90" s="42">
        <v>2.5</v>
      </c>
      <c r="F90" s="27">
        <v>0.1074</v>
      </c>
    </row>
    <row r="91" spans="1:6">
      <c r="A91" s="52">
        <v>88</v>
      </c>
      <c r="B91" s="53" t="s">
        <v>222</v>
      </c>
      <c r="C91" s="53" t="s">
        <v>195</v>
      </c>
      <c r="D91" s="54">
        <v>23.4</v>
      </c>
      <c r="E91" s="54">
        <v>2.8</v>
      </c>
      <c r="F91" s="55">
        <v>0.11990000000000001</v>
      </c>
    </row>
    <row r="92" spans="1:6">
      <c r="A92" s="51">
        <v>89</v>
      </c>
      <c r="B92" s="3" t="s">
        <v>223</v>
      </c>
      <c r="C92" s="3" t="s">
        <v>121</v>
      </c>
      <c r="D92" s="42">
        <v>23.4</v>
      </c>
      <c r="E92" s="42">
        <v>5.9</v>
      </c>
      <c r="F92" s="27">
        <v>0.25090000000000001</v>
      </c>
    </row>
    <row r="93" spans="1:6">
      <c r="A93" s="51">
        <v>90</v>
      </c>
      <c r="B93" s="3" t="s">
        <v>224</v>
      </c>
      <c r="C93" s="3" t="s">
        <v>121</v>
      </c>
      <c r="D93" s="42">
        <v>23.3</v>
      </c>
      <c r="E93" s="42">
        <v>3.2</v>
      </c>
      <c r="F93" s="27">
        <v>0.1353</v>
      </c>
    </row>
    <row r="94" spans="1:6">
      <c r="A94" s="51">
        <v>91</v>
      </c>
      <c r="B94" s="3" t="s">
        <v>225</v>
      </c>
      <c r="C94" s="3" t="s">
        <v>143</v>
      </c>
      <c r="D94" s="42">
        <v>22.8</v>
      </c>
      <c r="E94" s="42">
        <v>4.5</v>
      </c>
      <c r="F94" s="27">
        <v>0.19620000000000001</v>
      </c>
    </row>
    <row r="95" spans="1:6">
      <c r="A95" s="51">
        <v>92</v>
      </c>
      <c r="B95" s="3" t="s">
        <v>226</v>
      </c>
      <c r="C95" s="3" t="s">
        <v>121</v>
      </c>
      <c r="D95" s="42">
        <v>22.1</v>
      </c>
      <c r="E95" s="42">
        <v>6.4</v>
      </c>
      <c r="F95" s="27">
        <v>0.28970000000000001</v>
      </c>
    </row>
    <row r="96" spans="1:6">
      <c r="A96" s="51">
        <v>93</v>
      </c>
      <c r="B96" s="3" t="s">
        <v>227</v>
      </c>
      <c r="C96" s="3" t="s">
        <v>121</v>
      </c>
      <c r="D96" s="42">
        <v>21.9</v>
      </c>
      <c r="E96" s="42">
        <v>2.5</v>
      </c>
      <c r="F96" s="27">
        <v>0.112</v>
      </c>
    </row>
    <row r="97" spans="1:6">
      <c r="A97" s="51">
        <v>94</v>
      </c>
      <c r="B97" s="3" t="s">
        <v>228</v>
      </c>
      <c r="C97" s="3" t="s">
        <v>121</v>
      </c>
      <c r="D97" s="42">
        <v>21.7</v>
      </c>
      <c r="E97" s="42">
        <v>3.5</v>
      </c>
      <c r="F97" s="27">
        <v>0.16189999999999999</v>
      </c>
    </row>
    <row r="98" spans="1:6">
      <c r="A98" s="52">
        <v>95</v>
      </c>
      <c r="B98" s="53" t="s">
        <v>229</v>
      </c>
      <c r="C98" s="53" t="s">
        <v>190</v>
      </c>
      <c r="D98" s="54">
        <v>21.5</v>
      </c>
      <c r="E98" s="54">
        <v>3.6</v>
      </c>
      <c r="F98" s="55">
        <v>0.1673</v>
      </c>
    </row>
    <row r="99" spans="1:6">
      <c r="A99" s="52">
        <v>96</v>
      </c>
      <c r="B99" s="53" t="s">
        <v>230</v>
      </c>
      <c r="C99" s="53" t="s">
        <v>231</v>
      </c>
      <c r="D99" s="54">
        <v>21.5</v>
      </c>
      <c r="E99" s="54">
        <v>2.2999999999999998</v>
      </c>
      <c r="F99" s="55">
        <v>0.1061</v>
      </c>
    </row>
    <row r="100" spans="1:6">
      <c r="A100" s="51">
        <v>97</v>
      </c>
      <c r="B100" s="3" t="s">
        <v>232</v>
      </c>
      <c r="C100" s="3" t="s">
        <v>121</v>
      </c>
      <c r="D100" s="42">
        <v>21.5</v>
      </c>
      <c r="E100" s="42">
        <v>5.4</v>
      </c>
      <c r="F100" s="27">
        <v>0.25309999999999999</v>
      </c>
    </row>
    <row r="101" spans="1:6">
      <c r="A101" s="52">
        <v>98</v>
      </c>
      <c r="B101" s="53" t="s">
        <v>233</v>
      </c>
      <c r="C101" s="53" t="s">
        <v>121</v>
      </c>
      <c r="D101" s="54">
        <v>21.3</v>
      </c>
      <c r="E101" s="54">
        <v>4.3</v>
      </c>
      <c r="F101" s="55">
        <v>0.2016</v>
      </c>
    </row>
    <row r="102" spans="1:6">
      <c r="D102" s="4">
        <f>SUM(D4:D101)</f>
        <v>5742.199999999998</v>
      </c>
      <c r="E102" s="4">
        <f>SUM(E4:E101)</f>
        <v>1071.3000000000002</v>
      </c>
    </row>
    <row r="107" spans="1:6">
      <c r="A107" s="32" t="s">
        <v>5</v>
      </c>
      <c r="B107" s="4">
        <v>5742.2</v>
      </c>
    </row>
    <row r="108" spans="1:6">
      <c r="A108" s="32" t="s">
        <v>90</v>
      </c>
      <c r="B108" s="4">
        <v>1071.3</v>
      </c>
    </row>
    <row r="109" spans="1:6">
      <c r="A109" s="32" t="s">
        <v>91</v>
      </c>
      <c r="B109" s="56">
        <f>B108/B107</f>
        <v>0.18656612448190588</v>
      </c>
    </row>
    <row r="110" spans="1:6" ht="28.8">
      <c r="A110" s="32" t="s">
        <v>92</v>
      </c>
      <c r="B110">
        <f>(B109-0.1)*B107</f>
        <v>497.07999999999987</v>
      </c>
    </row>
    <row r="111" spans="1:6" ht="115.2">
      <c r="A111" s="32" t="s">
        <v>93</v>
      </c>
      <c r="B111">
        <f>0.25*B110</f>
        <v>124.26999999999997</v>
      </c>
    </row>
    <row r="112" spans="1:6" ht="86.4">
      <c r="A112" s="32" t="s">
        <v>95</v>
      </c>
    </row>
    <row r="113" spans="1:2" ht="72">
      <c r="A113" s="8" t="s">
        <v>35</v>
      </c>
    </row>
    <row r="114" spans="1:2" ht="43.2">
      <c r="A114" s="8" t="s">
        <v>96</v>
      </c>
    </row>
    <row r="115" spans="1:2" ht="43.2">
      <c r="A115" s="32" t="s">
        <v>97</v>
      </c>
    </row>
    <row r="116" spans="1:2" ht="57.6">
      <c r="A116" s="8" t="s">
        <v>101</v>
      </c>
      <c r="B116">
        <f>B112*0.3</f>
        <v>0</v>
      </c>
    </row>
  </sheetData>
  <pageMargins left="0.7" right="0.7" top="0.78749999999999998" bottom="0.78749999999999998" header="0.51180555555555496" footer="0.51180555555555496"/>
  <pageSetup paperSize="9" firstPageNumber="0"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55"/>
  <sheetViews>
    <sheetView topLeftCell="A55" zoomScaleNormal="100" workbookViewId="0">
      <selection activeCell="E74" sqref="E74"/>
    </sheetView>
  </sheetViews>
  <sheetFormatPr baseColWidth="10" defaultColWidth="9.109375" defaultRowHeight="14.4"/>
  <cols>
    <col min="2" max="2" width="24.21875" customWidth="1"/>
    <col min="3" max="3" width="12.77734375" customWidth="1"/>
    <col min="4" max="4" width="13.21875" customWidth="1"/>
    <col min="5" max="5" width="12.6640625" customWidth="1"/>
    <col min="6" max="6" width="17" customWidth="1"/>
  </cols>
  <sheetData>
    <row r="2" spans="1:6">
      <c r="B2" t="s">
        <v>234</v>
      </c>
    </row>
    <row r="4" spans="1:6" ht="28.8">
      <c r="A4" s="49" t="s">
        <v>115</v>
      </c>
      <c r="B4" s="49" t="s">
        <v>116</v>
      </c>
      <c r="C4" s="49" t="s">
        <v>117</v>
      </c>
      <c r="D4" s="49" t="s">
        <v>118</v>
      </c>
      <c r="E4" s="49" t="s">
        <v>119</v>
      </c>
      <c r="F4" s="50" t="s">
        <v>120</v>
      </c>
    </row>
    <row r="5" spans="1:6">
      <c r="A5" s="51">
        <v>1</v>
      </c>
      <c r="B5" s="3" t="s">
        <v>76</v>
      </c>
      <c r="C5" s="3" t="s">
        <v>121</v>
      </c>
      <c r="D5" s="42">
        <v>257.8</v>
      </c>
      <c r="E5" s="42">
        <v>56</v>
      </c>
      <c r="F5" s="27">
        <v>0.21729999999999999</v>
      </c>
    </row>
    <row r="6" spans="1:6">
      <c r="A6" s="51">
        <v>4</v>
      </c>
      <c r="B6" s="3" t="s">
        <v>125</v>
      </c>
      <c r="C6" s="3" t="s">
        <v>126</v>
      </c>
      <c r="D6" s="42">
        <v>176</v>
      </c>
      <c r="E6" s="42">
        <v>19.399999999999999</v>
      </c>
      <c r="F6" s="27">
        <v>0.1101</v>
      </c>
    </row>
    <row r="7" spans="1:6">
      <c r="A7" s="51">
        <v>6</v>
      </c>
      <c r="B7" s="3" t="s">
        <v>129</v>
      </c>
      <c r="C7" s="3" t="s">
        <v>121</v>
      </c>
      <c r="D7" s="42">
        <v>160</v>
      </c>
      <c r="E7" s="42">
        <v>35.299999999999997</v>
      </c>
      <c r="F7" s="27">
        <v>0.22090000000000001</v>
      </c>
    </row>
    <row r="8" spans="1:6">
      <c r="A8" s="51">
        <v>8</v>
      </c>
      <c r="B8" s="3" t="s">
        <v>131</v>
      </c>
      <c r="C8" s="3" t="s">
        <v>128</v>
      </c>
      <c r="D8" s="42">
        <v>148.30000000000001</v>
      </c>
      <c r="E8" s="42">
        <v>18.2</v>
      </c>
      <c r="F8" s="27">
        <v>0.123</v>
      </c>
    </row>
    <row r="9" spans="1:6">
      <c r="A9" s="51">
        <v>10</v>
      </c>
      <c r="B9" s="3" t="s">
        <v>79</v>
      </c>
      <c r="C9" s="3" t="s">
        <v>121</v>
      </c>
      <c r="D9" s="42">
        <v>134.4</v>
      </c>
      <c r="E9" s="42">
        <v>45</v>
      </c>
      <c r="F9" s="27">
        <v>0.33460000000000001</v>
      </c>
    </row>
    <row r="10" spans="1:6">
      <c r="A10" s="51">
        <v>13</v>
      </c>
      <c r="B10" s="3" t="s">
        <v>135</v>
      </c>
      <c r="C10" s="3" t="s">
        <v>121</v>
      </c>
      <c r="D10" s="42">
        <v>112.5</v>
      </c>
      <c r="E10" s="42">
        <v>15.6</v>
      </c>
      <c r="F10" s="27">
        <v>0.13869999999999999</v>
      </c>
    </row>
    <row r="11" spans="1:6">
      <c r="A11" s="51">
        <v>14</v>
      </c>
      <c r="B11" s="3" t="s">
        <v>136</v>
      </c>
      <c r="C11" s="3" t="s">
        <v>137</v>
      </c>
      <c r="D11" s="42">
        <v>97.6</v>
      </c>
      <c r="E11" s="42">
        <v>13.7</v>
      </c>
      <c r="F11" s="27">
        <v>0.14019999999999999</v>
      </c>
    </row>
    <row r="12" spans="1:6">
      <c r="A12" s="51">
        <v>15</v>
      </c>
      <c r="B12" s="3" t="s">
        <v>138</v>
      </c>
      <c r="C12" s="3" t="s">
        <v>121</v>
      </c>
      <c r="D12" s="42">
        <v>96.1</v>
      </c>
      <c r="E12" s="42">
        <v>10.3</v>
      </c>
      <c r="F12" s="27">
        <v>0.1077</v>
      </c>
    </row>
    <row r="13" spans="1:6">
      <c r="A13" s="51">
        <v>16</v>
      </c>
      <c r="B13" s="3" t="s">
        <v>139</v>
      </c>
      <c r="C13" s="3" t="s">
        <v>121</v>
      </c>
      <c r="D13" s="42">
        <v>90.9</v>
      </c>
      <c r="E13" s="42">
        <v>9.1999999999999993</v>
      </c>
      <c r="F13" s="27">
        <v>0.1014</v>
      </c>
    </row>
    <row r="14" spans="1:6">
      <c r="A14" s="51">
        <v>18</v>
      </c>
      <c r="B14" s="3" t="s">
        <v>141</v>
      </c>
      <c r="C14" s="3" t="s">
        <v>128</v>
      </c>
      <c r="D14" s="42">
        <v>82.3</v>
      </c>
      <c r="E14" s="42">
        <v>20.399999999999999</v>
      </c>
      <c r="F14" s="27">
        <v>0.24840000000000001</v>
      </c>
    </row>
    <row r="15" spans="1:6">
      <c r="A15" s="51">
        <v>19</v>
      </c>
      <c r="B15" s="3" t="s">
        <v>142</v>
      </c>
      <c r="C15" s="3" t="s">
        <v>143</v>
      </c>
      <c r="D15" s="42">
        <v>78.8</v>
      </c>
      <c r="E15" s="42">
        <v>11.4</v>
      </c>
      <c r="F15" s="27">
        <v>0.14460000000000001</v>
      </c>
    </row>
    <row r="16" spans="1:6">
      <c r="A16" s="51">
        <v>20</v>
      </c>
      <c r="B16" s="3" t="s">
        <v>77</v>
      </c>
      <c r="C16" s="3" t="s">
        <v>121</v>
      </c>
      <c r="D16" s="42">
        <v>75.400000000000006</v>
      </c>
      <c r="E16" s="42">
        <v>25.5</v>
      </c>
      <c r="F16" s="27">
        <v>0.33839999999999998</v>
      </c>
    </row>
    <row r="17" spans="1:6">
      <c r="A17" s="51">
        <v>22</v>
      </c>
      <c r="B17" s="3" t="s">
        <v>145</v>
      </c>
      <c r="C17" s="3" t="s">
        <v>121</v>
      </c>
      <c r="D17" s="42">
        <v>72.400000000000006</v>
      </c>
      <c r="E17" s="42">
        <v>12.9</v>
      </c>
      <c r="F17" s="27">
        <v>0.17799999999999999</v>
      </c>
    </row>
    <row r="18" spans="1:6">
      <c r="A18" s="51">
        <v>23</v>
      </c>
      <c r="B18" s="3" t="s">
        <v>146</v>
      </c>
      <c r="C18" s="3" t="s">
        <v>147</v>
      </c>
      <c r="D18" s="42">
        <v>70.099999999999994</v>
      </c>
      <c r="E18" s="42">
        <v>8.9</v>
      </c>
      <c r="F18" s="27">
        <v>0.12640000000000001</v>
      </c>
    </row>
    <row r="19" spans="1:6">
      <c r="A19" s="51">
        <v>24</v>
      </c>
      <c r="B19" s="3" t="s">
        <v>148</v>
      </c>
      <c r="C19" s="3" t="s">
        <v>121</v>
      </c>
      <c r="D19" s="42">
        <v>68.3</v>
      </c>
      <c r="E19" s="42">
        <v>18.3</v>
      </c>
      <c r="F19" s="27">
        <v>0.26829999999999998</v>
      </c>
    </row>
    <row r="20" spans="1:6">
      <c r="A20" s="51">
        <v>25</v>
      </c>
      <c r="B20" s="3" t="s">
        <v>149</v>
      </c>
      <c r="C20" s="3" t="s">
        <v>121</v>
      </c>
      <c r="D20" s="42">
        <v>64.900000000000006</v>
      </c>
      <c r="E20" s="42">
        <v>12.1</v>
      </c>
      <c r="F20" s="27">
        <v>0.1865</v>
      </c>
    </row>
    <row r="21" spans="1:6">
      <c r="A21" s="51">
        <v>26</v>
      </c>
      <c r="B21" s="3" t="s">
        <v>150</v>
      </c>
      <c r="C21" s="3" t="s">
        <v>121</v>
      </c>
      <c r="D21" s="42">
        <v>62.5</v>
      </c>
      <c r="E21" s="42">
        <v>6.6</v>
      </c>
      <c r="F21" s="27">
        <v>0.1052</v>
      </c>
    </row>
    <row r="22" spans="1:6">
      <c r="A22" s="51">
        <v>27</v>
      </c>
      <c r="B22" s="3" t="s">
        <v>151</v>
      </c>
      <c r="C22" s="3" t="s">
        <v>137</v>
      </c>
      <c r="D22" s="42">
        <v>62.5</v>
      </c>
      <c r="E22" s="42">
        <v>6.4</v>
      </c>
      <c r="F22" s="27">
        <v>0.1024</v>
      </c>
    </row>
    <row r="23" spans="1:6">
      <c r="A23" s="51">
        <v>28</v>
      </c>
      <c r="B23" s="3" t="s">
        <v>152</v>
      </c>
      <c r="C23" s="3" t="s">
        <v>147</v>
      </c>
      <c r="D23" s="42">
        <v>61.7</v>
      </c>
      <c r="E23" s="42">
        <v>13.1</v>
      </c>
      <c r="F23" s="27">
        <v>0.21190000000000001</v>
      </c>
    </row>
    <row r="24" spans="1:6">
      <c r="A24" s="51">
        <v>29</v>
      </c>
      <c r="B24" s="3" t="s">
        <v>153</v>
      </c>
      <c r="C24" s="3" t="s">
        <v>128</v>
      </c>
      <c r="D24" s="42">
        <v>61.4</v>
      </c>
      <c r="E24" s="42">
        <v>20.399999999999999</v>
      </c>
      <c r="F24" s="27">
        <v>0.33289999999999997</v>
      </c>
    </row>
    <row r="25" spans="1:6">
      <c r="A25" s="51">
        <v>30</v>
      </c>
      <c r="B25" s="3" t="s">
        <v>154</v>
      </c>
      <c r="C25" s="3" t="s">
        <v>121</v>
      </c>
      <c r="D25" s="42">
        <v>60.2</v>
      </c>
      <c r="E25" s="42">
        <v>6.4</v>
      </c>
      <c r="F25" s="27">
        <v>0.10630000000000001</v>
      </c>
    </row>
    <row r="26" spans="1:6">
      <c r="A26" s="51">
        <v>33</v>
      </c>
      <c r="B26" s="3" t="s">
        <v>157</v>
      </c>
      <c r="C26" s="3" t="s">
        <v>121</v>
      </c>
      <c r="D26" s="42">
        <v>57.4</v>
      </c>
      <c r="E26" s="42">
        <v>6</v>
      </c>
      <c r="F26" s="27">
        <v>0.104</v>
      </c>
    </row>
    <row r="27" spans="1:6">
      <c r="A27" s="51">
        <v>34</v>
      </c>
      <c r="B27" s="3" t="s">
        <v>158</v>
      </c>
      <c r="C27" s="3" t="s">
        <v>143</v>
      </c>
      <c r="D27" s="42">
        <v>54.5</v>
      </c>
      <c r="E27" s="42">
        <v>13.3</v>
      </c>
      <c r="F27" s="27">
        <v>0.24479999999999999</v>
      </c>
    </row>
    <row r="28" spans="1:6">
      <c r="A28" s="51">
        <v>37</v>
      </c>
      <c r="B28" s="3" t="s">
        <v>161</v>
      </c>
      <c r="C28" s="3" t="s">
        <v>162</v>
      </c>
      <c r="D28" s="42">
        <v>50.7</v>
      </c>
      <c r="E28" s="42">
        <v>5.5</v>
      </c>
      <c r="F28" s="27">
        <v>0.109</v>
      </c>
    </row>
    <row r="29" spans="1:6">
      <c r="A29" s="51">
        <v>41</v>
      </c>
      <c r="B29" s="3" t="s">
        <v>166</v>
      </c>
      <c r="C29" s="3" t="s">
        <v>167</v>
      </c>
      <c r="D29" s="42">
        <v>44.6</v>
      </c>
      <c r="E29" s="42">
        <v>4.7</v>
      </c>
      <c r="F29" s="27">
        <v>0.1061</v>
      </c>
    </row>
    <row r="30" spans="1:6">
      <c r="A30" s="51">
        <v>43</v>
      </c>
      <c r="B30" s="3" t="s">
        <v>169</v>
      </c>
      <c r="C30" s="3" t="s">
        <v>147</v>
      </c>
      <c r="D30" s="42">
        <v>43.2</v>
      </c>
      <c r="E30" s="42">
        <v>5.4</v>
      </c>
      <c r="F30" s="27">
        <v>0.1258</v>
      </c>
    </row>
    <row r="31" spans="1:6">
      <c r="A31" s="51">
        <v>45</v>
      </c>
      <c r="B31" s="3" t="s">
        <v>171</v>
      </c>
      <c r="C31" s="3" t="s">
        <v>143</v>
      </c>
      <c r="D31" s="42">
        <v>42.6</v>
      </c>
      <c r="E31" s="42">
        <v>7.1</v>
      </c>
      <c r="F31" s="27">
        <v>0.16669999999999999</v>
      </c>
    </row>
    <row r="32" spans="1:6">
      <c r="A32" s="51">
        <v>46</v>
      </c>
      <c r="B32" s="3" t="s">
        <v>172</v>
      </c>
      <c r="C32" s="3" t="s">
        <v>167</v>
      </c>
      <c r="D32" s="42">
        <v>42.3</v>
      </c>
      <c r="E32" s="42">
        <v>4.8</v>
      </c>
      <c r="F32" s="27">
        <v>0.11409999999999999</v>
      </c>
    </row>
    <row r="33" spans="1:6">
      <c r="A33" s="51">
        <v>47</v>
      </c>
      <c r="B33" s="3" t="s">
        <v>173</v>
      </c>
      <c r="C33" s="3" t="s">
        <v>174</v>
      </c>
      <c r="D33" s="42">
        <v>42.2</v>
      </c>
      <c r="E33" s="42">
        <v>16.399999999999999</v>
      </c>
      <c r="F33" s="27">
        <v>0.38879999999999998</v>
      </c>
    </row>
    <row r="34" spans="1:6">
      <c r="A34" s="51">
        <v>48</v>
      </c>
      <c r="B34" s="3" t="s">
        <v>175</v>
      </c>
      <c r="C34" s="3" t="s">
        <v>121</v>
      </c>
      <c r="D34" s="42">
        <v>42.1</v>
      </c>
      <c r="E34" s="42">
        <v>8.9</v>
      </c>
      <c r="F34" s="27">
        <v>0.2104</v>
      </c>
    </row>
    <row r="35" spans="1:6">
      <c r="A35" s="51">
        <v>49</v>
      </c>
      <c r="B35" s="3" t="s">
        <v>176</v>
      </c>
      <c r="C35" s="3" t="s">
        <v>121</v>
      </c>
      <c r="D35" s="42">
        <v>41.9</v>
      </c>
      <c r="E35" s="42">
        <v>6.2</v>
      </c>
      <c r="F35" s="27">
        <v>0.14849999999999999</v>
      </c>
    </row>
    <row r="36" spans="1:6">
      <c r="A36" s="51">
        <v>50</v>
      </c>
      <c r="B36" s="3" t="s">
        <v>177</v>
      </c>
      <c r="C36" s="3" t="s">
        <v>121</v>
      </c>
      <c r="D36" s="42">
        <v>41.7</v>
      </c>
      <c r="E36" s="42">
        <v>8.4</v>
      </c>
      <c r="F36" s="27">
        <v>0.20169999999999999</v>
      </c>
    </row>
    <row r="37" spans="1:6">
      <c r="A37" s="51">
        <v>52</v>
      </c>
      <c r="B37" s="3" t="s">
        <v>180</v>
      </c>
      <c r="C37" s="3" t="s">
        <v>181</v>
      </c>
      <c r="D37" s="42">
        <v>40.4</v>
      </c>
      <c r="E37" s="42">
        <v>6.1</v>
      </c>
      <c r="F37" s="27">
        <v>0.1497</v>
      </c>
    </row>
    <row r="38" spans="1:6">
      <c r="A38" s="51">
        <v>53</v>
      </c>
      <c r="B38" s="3" t="s">
        <v>182</v>
      </c>
      <c r="C38" s="3" t="s">
        <v>121</v>
      </c>
      <c r="D38" s="42">
        <v>40.200000000000003</v>
      </c>
      <c r="E38" s="42">
        <v>4</v>
      </c>
      <c r="F38" s="27">
        <v>0.1004</v>
      </c>
    </row>
    <row r="39" spans="1:6">
      <c r="A39" s="51">
        <v>54</v>
      </c>
      <c r="B39" s="3" t="s">
        <v>183</v>
      </c>
      <c r="C39" s="3" t="s">
        <v>184</v>
      </c>
      <c r="D39" s="42">
        <v>40.1</v>
      </c>
      <c r="E39" s="42">
        <v>4.8</v>
      </c>
      <c r="F39" s="27">
        <v>0.12039999999999999</v>
      </c>
    </row>
    <row r="40" spans="1:6">
      <c r="A40" s="51">
        <v>55</v>
      </c>
      <c r="B40" s="3" t="s">
        <v>185</v>
      </c>
      <c r="C40" s="3" t="s">
        <v>121</v>
      </c>
      <c r="D40" s="42">
        <v>39.299999999999997</v>
      </c>
      <c r="E40" s="42">
        <v>4.9000000000000004</v>
      </c>
      <c r="F40" s="27">
        <v>0.125</v>
      </c>
    </row>
    <row r="41" spans="1:6">
      <c r="A41" s="51">
        <v>56</v>
      </c>
      <c r="B41" s="3" t="s">
        <v>186</v>
      </c>
      <c r="C41" s="3" t="s">
        <v>187</v>
      </c>
      <c r="D41" s="42">
        <v>39</v>
      </c>
      <c r="E41" s="42">
        <v>8.5</v>
      </c>
      <c r="F41" s="27">
        <v>0.218</v>
      </c>
    </row>
    <row r="42" spans="1:6">
      <c r="A42" s="51">
        <v>57</v>
      </c>
      <c r="B42" s="3" t="s">
        <v>188</v>
      </c>
      <c r="C42" s="3" t="s">
        <v>162</v>
      </c>
      <c r="D42" s="42">
        <v>38.299999999999997</v>
      </c>
      <c r="E42" s="42">
        <v>6.5</v>
      </c>
      <c r="F42" s="27">
        <v>0.16930000000000001</v>
      </c>
    </row>
    <row r="43" spans="1:6">
      <c r="A43" s="51">
        <v>59</v>
      </c>
      <c r="B43" s="3" t="s">
        <v>191</v>
      </c>
      <c r="C43" s="3" t="s">
        <v>137</v>
      </c>
      <c r="D43" s="42">
        <v>37.4</v>
      </c>
      <c r="E43" s="42">
        <v>5.0999999999999996</v>
      </c>
      <c r="F43" s="27">
        <v>0.13619999999999999</v>
      </c>
    </row>
    <row r="44" spans="1:6">
      <c r="A44" s="51">
        <v>60</v>
      </c>
      <c r="B44" s="3" t="s">
        <v>192</v>
      </c>
      <c r="C44" s="3" t="s">
        <v>121</v>
      </c>
      <c r="D44" s="42">
        <v>37.4</v>
      </c>
      <c r="E44" s="42">
        <v>5</v>
      </c>
      <c r="F44" s="27">
        <v>0.1338</v>
      </c>
    </row>
    <row r="45" spans="1:6">
      <c r="A45" s="51">
        <v>61</v>
      </c>
      <c r="B45" s="3" t="s">
        <v>193</v>
      </c>
      <c r="C45" s="3" t="s">
        <v>167</v>
      </c>
      <c r="D45" s="42">
        <v>36</v>
      </c>
      <c r="E45" s="42">
        <v>12.3</v>
      </c>
      <c r="F45" s="27">
        <v>0.34060000000000001</v>
      </c>
    </row>
    <row r="46" spans="1:6">
      <c r="A46" s="51">
        <v>62</v>
      </c>
      <c r="B46" s="3" t="s">
        <v>194</v>
      </c>
      <c r="C46" s="3" t="s">
        <v>195</v>
      </c>
      <c r="D46" s="42">
        <v>35.4</v>
      </c>
      <c r="E46" s="42">
        <v>4.5999999999999996</v>
      </c>
      <c r="F46" s="27">
        <v>0.12870000000000001</v>
      </c>
    </row>
    <row r="47" spans="1:6">
      <c r="A47" s="51">
        <v>63</v>
      </c>
      <c r="B47" s="3" t="s">
        <v>196</v>
      </c>
      <c r="C47" s="3" t="s">
        <v>121</v>
      </c>
      <c r="D47" s="42">
        <v>34.799999999999997</v>
      </c>
      <c r="E47" s="42">
        <v>11.2</v>
      </c>
      <c r="F47" s="27">
        <v>0.32240000000000002</v>
      </c>
    </row>
    <row r="48" spans="1:6">
      <c r="A48" s="51">
        <v>66</v>
      </c>
      <c r="B48" s="3" t="s">
        <v>199</v>
      </c>
      <c r="C48" s="3" t="s">
        <v>200</v>
      </c>
      <c r="D48" s="42">
        <v>33.200000000000003</v>
      </c>
      <c r="E48" s="42">
        <v>3.6</v>
      </c>
      <c r="F48" s="27">
        <v>0.1085</v>
      </c>
    </row>
    <row r="49" spans="1:6">
      <c r="A49" s="51">
        <v>68</v>
      </c>
      <c r="B49" s="3" t="s">
        <v>202</v>
      </c>
      <c r="C49" s="3" t="s">
        <v>121</v>
      </c>
      <c r="D49" s="42">
        <v>30.3</v>
      </c>
      <c r="E49" s="42">
        <v>3.9</v>
      </c>
      <c r="F49" s="27">
        <v>0.13009999999999999</v>
      </c>
    </row>
    <row r="50" spans="1:6">
      <c r="A50" s="51">
        <v>69</v>
      </c>
      <c r="B50" s="3" t="s">
        <v>203</v>
      </c>
      <c r="C50" s="3" t="s">
        <v>137</v>
      </c>
      <c r="D50" s="42">
        <v>30.1</v>
      </c>
      <c r="E50" s="42">
        <v>3.3</v>
      </c>
      <c r="F50" s="27">
        <v>0.1108</v>
      </c>
    </row>
    <row r="51" spans="1:6">
      <c r="A51" s="51">
        <v>70</v>
      </c>
      <c r="B51" s="3" t="s">
        <v>204</v>
      </c>
      <c r="C51" s="3" t="s">
        <v>128</v>
      </c>
      <c r="D51" s="42">
        <v>29.9</v>
      </c>
      <c r="E51" s="42">
        <v>4.5999999999999996</v>
      </c>
      <c r="F51" s="27">
        <v>0.1525</v>
      </c>
    </row>
    <row r="52" spans="1:6">
      <c r="A52" s="51">
        <v>71</v>
      </c>
      <c r="B52" s="3" t="s">
        <v>205</v>
      </c>
      <c r="C52" s="3" t="s">
        <v>128</v>
      </c>
      <c r="D52" s="42">
        <v>29.7</v>
      </c>
      <c r="E52" s="42">
        <v>4.5999999999999996</v>
      </c>
      <c r="F52" s="27">
        <v>0.15340000000000001</v>
      </c>
    </row>
    <row r="53" spans="1:6">
      <c r="A53" s="51">
        <v>72</v>
      </c>
      <c r="B53" s="3" t="s">
        <v>206</v>
      </c>
      <c r="C53" s="3" t="s">
        <v>121</v>
      </c>
      <c r="D53" s="42">
        <v>29</v>
      </c>
      <c r="E53" s="42">
        <v>7.2</v>
      </c>
      <c r="F53" s="27">
        <v>0.2477</v>
      </c>
    </row>
    <row r="54" spans="1:6">
      <c r="A54" s="51">
        <v>73</v>
      </c>
      <c r="B54" s="3" t="s">
        <v>207</v>
      </c>
      <c r="C54" s="3" t="s">
        <v>121</v>
      </c>
      <c r="D54" s="42">
        <v>28.9</v>
      </c>
      <c r="E54" s="42">
        <v>6.8</v>
      </c>
      <c r="F54" s="27">
        <v>0.23330000000000001</v>
      </c>
    </row>
    <row r="55" spans="1:6">
      <c r="A55" s="51">
        <v>74</v>
      </c>
      <c r="B55" s="3" t="s">
        <v>208</v>
      </c>
      <c r="C55" s="3" t="s">
        <v>121</v>
      </c>
      <c r="D55" s="42">
        <v>28.6</v>
      </c>
      <c r="E55" s="42">
        <v>4.2</v>
      </c>
      <c r="F55" s="27">
        <v>0.1472</v>
      </c>
    </row>
    <row r="56" spans="1:6">
      <c r="A56" s="51">
        <v>76</v>
      </c>
      <c r="B56" s="3" t="s">
        <v>210</v>
      </c>
      <c r="C56" s="3" t="s">
        <v>121</v>
      </c>
      <c r="D56" s="42">
        <v>28.2</v>
      </c>
      <c r="E56" s="42">
        <v>5.6</v>
      </c>
      <c r="F56" s="27">
        <v>0.1988</v>
      </c>
    </row>
    <row r="57" spans="1:6">
      <c r="A57" s="51">
        <v>77</v>
      </c>
      <c r="B57" s="3" t="s">
        <v>211</v>
      </c>
      <c r="C57" s="3" t="s">
        <v>121</v>
      </c>
      <c r="D57" s="42">
        <v>28.2</v>
      </c>
      <c r="E57" s="42">
        <v>4.7</v>
      </c>
      <c r="F57" s="27">
        <v>0.16769999999999999</v>
      </c>
    </row>
    <row r="58" spans="1:6">
      <c r="A58" s="51">
        <v>78</v>
      </c>
      <c r="B58" s="3" t="s">
        <v>212</v>
      </c>
      <c r="C58" s="3" t="s">
        <v>167</v>
      </c>
      <c r="D58" s="42">
        <v>28</v>
      </c>
      <c r="E58" s="42">
        <v>3.6</v>
      </c>
      <c r="F58" s="27">
        <v>0.1285</v>
      </c>
    </row>
    <row r="59" spans="1:6">
      <c r="A59" s="51">
        <v>79</v>
      </c>
      <c r="B59" s="3" t="s">
        <v>108</v>
      </c>
      <c r="C59" s="3" t="s">
        <v>213</v>
      </c>
      <c r="D59" s="42">
        <v>27.8</v>
      </c>
      <c r="E59" s="42">
        <v>5.5</v>
      </c>
      <c r="F59" s="27">
        <v>0.19869999999999999</v>
      </c>
    </row>
    <row r="60" spans="1:6">
      <c r="A60" s="51">
        <v>82</v>
      </c>
      <c r="B60" s="3" t="s">
        <v>216</v>
      </c>
      <c r="C60" s="3" t="s">
        <v>121</v>
      </c>
      <c r="D60" s="42">
        <v>25.2</v>
      </c>
      <c r="E60" s="42">
        <v>7</v>
      </c>
      <c r="F60" s="27">
        <v>0.2787</v>
      </c>
    </row>
    <row r="61" spans="1:6">
      <c r="A61" s="51">
        <v>83</v>
      </c>
      <c r="B61" s="3" t="s">
        <v>217</v>
      </c>
      <c r="C61" s="3" t="s">
        <v>184</v>
      </c>
      <c r="D61" s="42">
        <v>24.5</v>
      </c>
      <c r="E61" s="42">
        <v>2.5</v>
      </c>
      <c r="F61" s="27">
        <v>0.10390000000000001</v>
      </c>
    </row>
    <row r="62" spans="1:6">
      <c r="A62" s="51">
        <v>84</v>
      </c>
      <c r="B62" s="3" t="s">
        <v>218</v>
      </c>
      <c r="C62" s="3" t="s">
        <v>162</v>
      </c>
      <c r="D62" s="42">
        <v>24.3</v>
      </c>
      <c r="E62" s="42">
        <v>2.8</v>
      </c>
      <c r="F62" s="27">
        <v>0.11550000000000001</v>
      </c>
    </row>
    <row r="63" spans="1:6">
      <c r="A63" s="51">
        <v>85</v>
      </c>
      <c r="B63" s="3" t="s">
        <v>219</v>
      </c>
      <c r="C63" s="3" t="s">
        <v>137</v>
      </c>
      <c r="D63" s="42">
        <v>23.8</v>
      </c>
      <c r="E63" s="42">
        <v>3.8</v>
      </c>
      <c r="F63" s="27">
        <v>0.15870000000000001</v>
      </c>
    </row>
    <row r="64" spans="1:6">
      <c r="A64" s="51">
        <v>86</v>
      </c>
      <c r="B64" s="3" t="s">
        <v>220</v>
      </c>
      <c r="C64" s="3" t="s">
        <v>126</v>
      </c>
      <c r="D64" s="42">
        <v>23.7</v>
      </c>
      <c r="E64" s="42">
        <v>3.5</v>
      </c>
      <c r="F64" s="27">
        <v>0.14810000000000001</v>
      </c>
    </row>
    <row r="65" spans="1:6">
      <c r="A65" s="51">
        <v>87</v>
      </c>
      <c r="B65" s="3" t="s">
        <v>221</v>
      </c>
      <c r="C65" s="3" t="s">
        <v>128</v>
      </c>
      <c r="D65" s="42">
        <v>23.7</v>
      </c>
      <c r="E65" s="42">
        <v>2.5</v>
      </c>
      <c r="F65" s="27">
        <v>0.1074</v>
      </c>
    </row>
    <row r="66" spans="1:6">
      <c r="A66" s="51">
        <v>89</v>
      </c>
      <c r="B66" s="3" t="s">
        <v>223</v>
      </c>
      <c r="C66" s="3" t="s">
        <v>121</v>
      </c>
      <c r="D66" s="42">
        <v>23.4</v>
      </c>
      <c r="E66" s="42">
        <v>5.9</v>
      </c>
      <c r="F66" s="27">
        <v>0.25090000000000001</v>
      </c>
    </row>
    <row r="67" spans="1:6">
      <c r="A67" s="51">
        <v>90</v>
      </c>
      <c r="B67" s="3" t="s">
        <v>224</v>
      </c>
      <c r="C67" s="3" t="s">
        <v>121</v>
      </c>
      <c r="D67" s="42">
        <v>23.3</v>
      </c>
      <c r="E67" s="42">
        <v>3.2</v>
      </c>
      <c r="F67" s="27">
        <v>0.1353</v>
      </c>
    </row>
    <row r="68" spans="1:6">
      <c r="A68" s="51">
        <v>91</v>
      </c>
      <c r="B68" s="3" t="s">
        <v>225</v>
      </c>
      <c r="C68" s="3" t="s">
        <v>143</v>
      </c>
      <c r="D68" s="42">
        <v>22.8</v>
      </c>
      <c r="E68" s="42">
        <v>4.5</v>
      </c>
      <c r="F68" s="27">
        <v>0.19620000000000001</v>
      </c>
    </row>
    <row r="69" spans="1:6">
      <c r="A69" s="51">
        <v>92</v>
      </c>
      <c r="B69" s="3" t="s">
        <v>226</v>
      </c>
      <c r="C69" s="3" t="s">
        <v>121</v>
      </c>
      <c r="D69" s="42">
        <v>22.1</v>
      </c>
      <c r="E69" s="42">
        <v>6.4</v>
      </c>
      <c r="F69" s="27">
        <v>0.28970000000000001</v>
      </c>
    </row>
    <row r="70" spans="1:6">
      <c r="A70" s="51">
        <v>93</v>
      </c>
      <c r="B70" s="3" t="s">
        <v>227</v>
      </c>
      <c r="C70" s="3" t="s">
        <v>121</v>
      </c>
      <c r="D70" s="42">
        <v>21.9</v>
      </c>
      <c r="E70" s="42">
        <v>2.5</v>
      </c>
      <c r="F70" s="27">
        <v>0.112</v>
      </c>
    </row>
    <row r="71" spans="1:6">
      <c r="A71" s="51">
        <v>94</v>
      </c>
      <c r="B71" s="3" t="s">
        <v>228</v>
      </c>
      <c r="C71" s="3" t="s">
        <v>121</v>
      </c>
      <c r="D71" s="42">
        <v>21.7</v>
      </c>
      <c r="E71" s="42">
        <v>3.5</v>
      </c>
      <c r="F71" s="27">
        <v>0.16189999999999999</v>
      </c>
    </row>
    <row r="72" spans="1:6">
      <c r="A72" s="51">
        <v>97</v>
      </c>
      <c r="B72" s="3" t="s">
        <v>232</v>
      </c>
      <c r="C72" s="3" t="s">
        <v>121</v>
      </c>
      <c r="D72" s="42">
        <v>21.5</v>
      </c>
      <c r="E72" s="42">
        <v>5.4</v>
      </c>
      <c r="F72" s="27">
        <v>0.25309999999999999</v>
      </c>
    </row>
    <row r="74" spans="1:6">
      <c r="C74" s="41" t="s">
        <v>235</v>
      </c>
      <c r="D74" s="57">
        <f>SUM(D5:D72)</f>
        <v>3669.3999999999996</v>
      </c>
      <c r="E74" s="57">
        <f>SUM(E5:E72)</f>
        <v>655.9</v>
      </c>
    </row>
    <row r="79" spans="1:6">
      <c r="B79" t="s">
        <v>236</v>
      </c>
    </row>
    <row r="82" spans="1:6" ht="28.8">
      <c r="A82" s="49" t="s">
        <v>115</v>
      </c>
      <c r="B82" s="49" t="s">
        <v>116</v>
      </c>
      <c r="C82" s="49" t="s">
        <v>117</v>
      </c>
      <c r="D82" s="49" t="s">
        <v>118</v>
      </c>
      <c r="E82" s="49" t="s">
        <v>119</v>
      </c>
      <c r="F82" s="50" t="s">
        <v>120</v>
      </c>
    </row>
    <row r="83" spans="1:6">
      <c r="A83" s="51">
        <v>1</v>
      </c>
      <c r="B83" s="3" t="s">
        <v>76</v>
      </c>
      <c r="C83" s="3" t="s">
        <v>121</v>
      </c>
      <c r="D83" s="42">
        <v>257.8</v>
      </c>
      <c r="E83" s="42">
        <v>56</v>
      </c>
      <c r="F83" s="27">
        <v>0.21729999999999999</v>
      </c>
    </row>
    <row r="84" spans="1:6">
      <c r="A84" s="51">
        <v>4</v>
      </c>
      <c r="B84" s="3" t="s">
        <v>125</v>
      </c>
      <c r="C84" s="3" t="s">
        <v>126</v>
      </c>
      <c r="D84" s="42">
        <v>176</v>
      </c>
      <c r="E84" s="42">
        <v>19.399999999999999</v>
      </c>
      <c r="F84" s="27">
        <v>0.1101</v>
      </c>
    </row>
    <row r="85" spans="1:6">
      <c r="A85" s="51">
        <v>6</v>
      </c>
      <c r="B85" s="3" t="s">
        <v>129</v>
      </c>
      <c r="C85" s="3" t="s">
        <v>121</v>
      </c>
      <c r="D85" s="42">
        <v>160</v>
      </c>
      <c r="E85" s="42">
        <v>35.299999999999997</v>
      </c>
      <c r="F85" s="27">
        <v>0.22090000000000001</v>
      </c>
    </row>
    <row r="86" spans="1:6">
      <c r="A86" s="51">
        <v>8</v>
      </c>
      <c r="B86" s="3" t="s">
        <v>131</v>
      </c>
      <c r="C86" s="3" t="s">
        <v>128</v>
      </c>
      <c r="D86" s="42">
        <v>148.30000000000001</v>
      </c>
      <c r="E86" s="42">
        <v>18.2</v>
      </c>
      <c r="F86" s="27">
        <v>0.123</v>
      </c>
    </row>
    <row r="87" spans="1:6">
      <c r="A87" s="51">
        <v>10</v>
      </c>
      <c r="B87" s="3" t="s">
        <v>79</v>
      </c>
      <c r="C87" s="3" t="s">
        <v>121</v>
      </c>
      <c r="D87" s="42">
        <v>134.4</v>
      </c>
      <c r="E87" s="42">
        <v>45</v>
      </c>
      <c r="F87" s="27">
        <v>0.33460000000000001</v>
      </c>
    </row>
    <row r="88" spans="1:6">
      <c r="A88" s="51">
        <v>13</v>
      </c>
      <c r="B88" s="3" t="s">
        <v>135</v>
      </c>
      <c r="C88" s="3" t="s">
        <v>121</v>
      </c>
      <c r="D88" s="42">
        <v>112.5</v>
      </c>
      <c r="E88" s="42">
        <v>15.6</v>
      </c>
      <c r="F88" s="27">
        <v>0.13869999999999999</v>
      </c>
    </row>
    <row r="89" spans="1:6">
      <c r="A89" s="51">
        <v>14</v>
      </c>
      <c r="B89" s="3" t="s">
        <v>136</v>
      </c>
      <c r="C89" s="3" t="s">
        <v>137</v>
      </c>
      <c r="D89" s="42">
        <v>97.6</v>
      </c>
      <c r="E89" s="42">
        <v>13.7</v>
      </c>
      <c r="F89" s="27">
        <v>0.14019999999999999</v>
      </c>
    </row>
    <row r="90" spans="1:6">
      <c r="A90" s="51">
        <v>15</v>
      </c>
      <c r="B90" s="3" t="s">
        <v>138</v>
      </c>
      <c r="C90" s="3" t="s">
        <v>121</v>
      </c>
      <c r="D90" s="42">
        <v>96.1</v>
      </c>
      <c r="E90" s="42">
        <v>10.3</v>
      </c>
      <c r="F90" s="27">
        <v>0.1077</v>
      </c>
    </row>
    <row r="91" spans="1:6">
      <c r="A91" s="51">
        <v>16</v>
      </c>
      <c r="B91" s="3" t="s">
        <v>139</v>
      </c>
      <c r="C91" s="3" t="s">
        <v>121</v>
      </c>
      <c r="D91" s="42">
        <v>90.9</v>
      </c>
      <c r="E91" s="42">
        <v>9.1999999999999993</v>
      </c>
      <c r="F91" s="27">
        <v>0.1014</v>
      </c>
    </row>
    <row r="92" spans="1:6">
      <c r="A92" s="51">
        <v>18</v>
      </c>
      <c r="B92" s="3" t="s">
        <v>141</v>
      </c>
      <c r="C92" s="3" t="s">
        <v>128</v>
      </c>
      <c r="D92" s="42">
        <v>82.3</v>
      </c>
      <c r="E92" s="42">
        <v>20.399999999999999</v>
      </c>
      <c r="F92" s="27">
        <v>0.24840000000000001</v>
      </c>
    </row>
    <row r="93" spans="1:6">
      <c r="A93" s="51">
        <v>19</v>
      </c>
      <c r="B93" s="3" t="s">
        <v>142</v>
      </c>
      <c r="C93" s="3" t="s">
        <v>143</v>
      </c>
      <c r="D93" s="42">
        <v>78.8</v>
      </c>
      <c r="E93" s="42">
        <v>11.4</v>
      </c>
      <c r="F93" s="27">
        <v>0.14460000000000001</v>
      </c>
    </row>
    <row r="94" spans="1:6">
      <c r="A94" s="51">
        <v>20</v>
      </c>
      <c r="B94" s="3" t="s">
        <v>77</v>
      </c>
      <c r="C94" s="3" t="s">
        <v>121</v>
      </c>
      <c r="D94" s="42">
        <v>75.400000000000006</v>
      </c>
      <c r="E94" s="42">
        <v>25.5</v>
      </c>
      <c r="F94" s="27">
        <v>0.33839999999999998</v>
      </c>
    </row>
    <row r="95" spans="1:6">
      <c r="A95" s="51">
        <v>22</v>
      </c>
      <c r="B95" s="3" t="s">
        <v>145</v>
      </c>
      <c r="C95" s="3" t="s">
        <v>121</v>
      </c>
      <c r="D95" s="42">
        <v>72.400000000000006</v>
      </c>
      <c r="E95" s="42">
        <v>12.9</v>
      </c>
      <c r="F95" s="27">
        <v>0.17799999999999999</v>
      </c>
    </row>
    <row r="96" spans="1:6">
      <c r="A96" s="51">
        <v>23</v>
      </c>
      <c r="B96" s="3" t="s">
        <v>146</v>
      </c>
      <c r="C96" s="3" t="s">
        <v>147</v>
      </c>
      <c r="D96" s="42">
        <v>70.099999999999994</v>
      </c>
      <c r="E96" s="42">
        <v>8.9</v>
      </c>
      <c r="F96" s="27">
        <v>0.12640000000000001</v>
      </c>
    </row>
    <row r="97" spans="1:6">
      <c r="A97" s="51">
        <v>24</v>
      </c>
      <c r="B97" s="3" t="s">
        <v>148</v>
      </c>
      <c r="C97" s="3" t="s">
        <v>121</v>
      </c>
      <c r="D97" s="42">
        <v>68.3</v>
      </c>
      <c r="E97" s="42">
        <v>18.3</v>
      </c>
      <c r="F97" s="27">
        <v>0.26829999999999998</v>
      </c>
    </row>
    <row r="98" spans="1:6">
      <c r="A98" s="51">
        <v>25</v>
      </c>
      <c r="B98" s="3" t="s">
        <v>149</v>
      </c>
      <c r="C98" s="3" t="s">
        <v>121</v>
      </c>
      <c r="D98" s="42">
        <v>64.900000000000006</v>
      </c>
      <c r="E98" s="42">
        <v>12.1</v>
      </c>
      <c r="F98" s="27">
        <v>0.1865</v>
      </c>
    </row>
    <row r="99" spans="1:6">
      <c r="A99" s="51">
        <v>26</v>
      </c>
      <c r="B99" s="3" t="s">
        <v>150</v>
      </c>
      <c r="C99" s="3" t="s">
        <v>121</v>
      </c>
      <c r="D99" s="42">
        <v>62.5</v>
      </c>
      <c r="E99" s="42">
        <v>6.6</v>
      </c>
      <c r="F99" s="27">
        <v>0.1052</v>
      </c>
    </row>
    <row r="100" spans="1:6">
      <c r="A100" s="51">
        <v>27</v>
      </c>
      <c r="B100" s="3" t="s">
        <v>151</v>
      </c>
      <c r="C100" s="3" t="s">
        <v>137</v>
      </c>
      <c r="D100" s="42">
        <v>62.5</v>
      </c>
      <c r="E100" s="42">
        <v>6.4</v>
      </c>
      <c r="F100" s="27">
        <v>0.1024</v>
      </c>
    </row>
    <row r="101" spans="1:6">
      <c r="A101" s="51">
        <v>28</v>
      </c>
      <c r="B101" s="3" t="s">
        <v>152</v>
      </c>
      <c r="C101" s="3" t="s">
        <v>147</v>
      </c>
      <c r="D101" s="42">
        <v>61.7</v>
      </c>
      <c r="E101" s="42">
        <v>13.1</v>
      </c>
      <c r="F101" s="27">
        <v>0.21190000000000001</v>
      </c>
    </row>
    <row r="102" spans="1:6">
      <c r="A102" s="51">
        <v>29</v>
      </c>
      <c r="B102" s="3" t="s">
        <v>153</v>
      </c>
      <c r="C102" s="3" t="s">
        <v>128</v>
      </c>
      <c r="D102" s="42">
        <v>61.4</v>
      </c>
      <c r="E102" s="42">
        <v>20.399999999999999</v>
      </c>
      <c r="F102" s="27">
        <v>0.33289999999999997</v>
      </c>
    </row>
    <row r="103" spans="1:6">
      <c r="A103" s="51">
        <v>30</v>
      </c>
      <c r="B103" s="3" t="s">
        <v>154</v>
      </c>
      <c r="C103" s="3" t="s">
        <v>121</v>
      </c>
      <c r="D103" s="42">
        <v>60.2</v>
      </c>
      <c r="E103" s="42">
        <v>6.4</v>
      </c>
      <c r="F103" s="27">
        <v>0.10630000000000001</v>
      </c>
    </row>
    <row r="104" spans="1:6">
      <c r="A104" s="51">
        <v>33</v>
      </c>
      <c r="B104" s="3" t="s">
        <v>157</v>
      </c>
      <c r="C104" s="3" t="s">
        <v>121</v>
      </c>
      <c r="D104" s="42">
        <v>57.4</v>
      </c>
      <c r="E104" s="42">
        <v>6</v>
      </c>
      <c r="F104" s="27">
        <v>0.104</v>
      </c>
    </row>
    <row r="105" spans="1:6">
      <c r="A105" s="51">
        <v>34</v>
      </c>
      <c r="B105" s="3" t="s">
        <v>158</v>
      </c>
      <c r="C105" s="3" t="s">
        <v>143</v>
      </c>
      <c r="D105" s="42">
        <v>54.5</v>
      </c>
      <c r="E105" s="42">
        <v>13.3</v>
      </c>
      <c r="F105" s="27">
        <v>0.24479999999999999</v>
      </c>
    </row>
    <row r="106" spans="1:6">
      <c r="A106" s="51">
        <v>37</v>
      </c>
      <c r="B106" s="3" t="s">
        <v>161</v>
      </c>
      <c r="C106" s="3" t="s">
        <v>162</v>
      </c>
      <c r="D106" s="42">
        <v>50.7</v>
      </c>
      <c r="E106" s="42">
        <v>5.5</v>
      </c>
      <c r="F106" s="27">
        <v>0.109</v>
      </c>
    </row>
    <row r="107" spans="1:6">
      <c r="A107" s="51">
        <v>41</v>
      </c>
      <c r="B107" s="3" t="s">
        <v>166</v>
      </c>
      <c r="C107" s="3" t="s">
        <v>167</v>
      </c>
      <c r="D107" s="42">
        <v>44.6</v>
      </c>
      <c r="E107" s="42">
        <v>4.7</v>
      </c>
      <c r="F107" s="27">
        <v>0.1061</v>
      </c>
    </row>
    <row r="108" spans="1:6">
      <c r="A108" s="51">
        <v>43</v>
      </c>
      <c r="B108" s="3" t="s">
        <v>169</v>
      </c>
      <c r="C108" s="3" t="s">
        <v>147</v>
      </c>
      <c r="D108" s="42">
        <v>43.2</v>
      </c>
      <c r="E108" s="42">
        <v>5.4</v>
      </c>
      <c r="F108" s="27">
        <v>0.1258</v>
      </c>
    </row>
    <row r="109" spans="1:6">
      <c r="A109" s="51">
        <v>45</v>
      </c>
      <c r="B109" s="3" t="s">
        <v>171</v>
      </c>
      <c r="C109" s="3" t="s">
        <v>143</v>
      </c>
      <c r="D109" s="42">
        <v>42.6</v>
      </c>
      <c r="E109" s="42">
        <v>7.1</v>
      </c>
      <c r="F109" s="27">
        <v>0.16669999999999999</v>
      </c>
    </row>
    <row r="110" spans="1:6">
      <c r="A110" s="51">
        <v>46</v>
      </c>
      <c r="B110" s="3" t="s">
        <v>172</v>
      </c>
      <c r="C110" s="3" t="s">
        <v>167</v>
      </c>
      <c r="D110" s="42">
        <v>42.3</v>
      </c>
      <c r="E110" s="42">
        <v>4.8</v>
      </c>
      <c r="F110" s="27">
        <v>0.11409999999999999</v>
      </c>
    </row>
    <row r="111" spans="1:6">
      <c r="A111" s="51">
        <v>47</v>
      </c>
      <c r="B111" s="3" t="s">
        <v>173</v>
      </c>
      <c r="C111" s="3" t="s">
        <v>174</v>
      </c>
      <c r="D111" s="42">
        <v>42.2</v>
      </c>
      <c r="E111" s="42">
        <v>16.399999999999999</v>
      </c>
      <c r="F111" s="27">
        <v>0.38879999999999998</v>
      </c>
    </row>
    <row r="112" spans="1:6">
      <c r="A112" s="51">
        <v>48</v>
      </c>
      <c r="B112" s="3" t="s">
        <v>175</v>
      </c>
      <c r="C112" s="3" t="s">
        <v>121</v>
      </c>
      <c r="D112" s="42">
        <v>42.1</v>
      </c>
      <c r="E112" s="42">
        <v>8.9</v>
      </c>
      <c r="F112" s="27">
        <v>0.2104</v>
      </c>
    </row>
    <row r="113" spans="1:6">
      <c r="A113" s="51">
        <v>49</v>
      </c>
      <c r="B113" s="3" t="s">
        <v>176</v>
      </c>
      <c r="C113" s="3" t="s">
        <v>121</v>
      </c>
      <c r="D113" s="42">
        <v>41.9</v>
      </c>
      <c r="E113" s="42">
        <v>6.2</v>
      </c>
      <c r="F113" s="27">
        <v>0.14849999999999999</v>
      </c>
    </row>
    <row r="114" spans="1:6">
      <c r="A114" s="51">
        <v>50</v>
      </c>
      <c r="B114" s="3" t="s">
        <v>177</v>
      </c>
      <c r="C114" s="3" t="s">
        <v>121</v>
      </c>
      <c r="D114" s="42">
        <v>41.7</v>
      </c>
      <c r="E114" s="42">
        <v>8.4</v>
      </c>
      <c r="F114" s="27">
        <v>0.20169999999999999</v>
      </c>
    </row>
    <row r="115" spans="1:6">
      <c r="A115" s="51">
        <v>52</v>
      </c>
      <c r="B115" s="3" t="s">
        <v>180</v>
      </c>
      <c r="C115" s="3" t="s">
        <v>181</v>
      </c>
      <c r="D115" s="42">
        <v>40.4</v>
      </c>
      <c r="E115" s="42">
        <v>6.1</v>
      </c>
      <c r="F115" s="27">
        <v>0.1497</v>
      </c>
    </row>
    <row r="116" spans="1:6">
      <c r="A116" s="51">
        <v>53</v>
      </c>
      <c r="B116" s="3" t="s">
        <v>182</v>
      </c>
      <c r="C116" s="3" t="s">
        <v>121</v>
      </c>
      <c r="D116" s="42">
        <v>40.200000000000003</v>
      </c>
      <c r="E116" s="42">
        <v>4</v>
      </c>
      <c r="F116" s="27">
        <v>0.1004</v>
      </c>
    </row>
    <row r="117" spans="1:6">
      <c r="A117" s="51">
        <v>54</v>
      </c>
      <c r="B117" s="3" t="s">
        <v>183</v>
      </c>
      <c r="C117" s="3" t="s">
        <v>184</v>
      </c>
      <c r="D117" s="42">
        <v>40.1</v>
      </c>
      <c r="E117" s="42">
        <v>4.8</v>
      </c>
      <c r="F117" s="27">
        <v>0.12039999999999999</v>
      </c>
    </row>
    <row r="118" spans="1:6">
      <c r="A118" s="51">
        <v>55</v>
      </c>
      <c r="B118" s="3" t="s">
        <v>185</v>
      </c>
      <c r="C118" s="3" t="s">
        <v>121</v>
      </c>
      <c r="D118" s="42">
        <v>39.299999999999997</v>
      </c>
      <c r="E118" s="42">
        <v>4.9000000000000004</v>
      </c>
      <c r="F118" s="27">
        <v>0.125</v>
      </c>
    </row>
    <row r="119" spans="1:6">
      <c r="A119" s="51">
        <v>56</v>
      </c>
      <c r="B119" s="3" t="s">
        <v>186</v>
      </c>
      <c r="C119" s="3" t="s">
        <v>187</v>
      </c>
      <c r="D119" s="42">
        <v>39</v>
      </c>
      <c r="E119" s="42">
        <v>8.5</v>
      </c>
      <c r="F119" s="27">
        <v>0.218</v>
      </c>
    </row>
    <row r="120" spans="1:6">
      <c r="A120" s="51">
        <v>57</v>
      </c>
      <c r="B120" s="3" t="s">
        <v>188</v>
      </c>
      <c r="C120" s="3" t="s">
        <v>162</v>
      </c>
      <c r="D120" s="42">
        <v>38.299999999999997</v>
      </c>
      <c r="E120" s="42">
        <v>6.5</v>
      </c>
      <c r="F120" s="27">
        <v>0.16930000000000001</v>
      </c>
    </row>
    <row r="121" spans="1:6">
      <c r="A121" s="51">
        <v>59</v>
      </c>
      <c r="B121" s="3" t="s">
        <v>191</v>
      </c>
      <c r="C121" s="3" t="s">
        <v>137</v>
      </c>
      <c r="D121" s="42">
        <v>37.4</v>
      </c>
      <c r="E121" s="42">
        <v>5.0999999999999996</v>
      </c>
      <c r="F121" s="27">
        <v>0.13619999999999999</v>
      </c>
    </row>
    <row r="122" spans="1:6">
      <c r="A122" s="51">
        <v>60</v>
      </c>
      <c r="B122" s="3" t="s">
        <v>192</v>
      </c>
      <c r="C122" s="3" t="s">
        <v>121</v>
      </c>
      <c r="D122" s="42">
        <v>37.4</v>
      </c>
      <c r="E122" s="42">
        <v>5</v>
      </c>
      <c r="F122" s="27">
        <v>0.1338</v>
      </c>
    </row>
    <row r="123" spans="1:6">
      <c r="A123" s="51">
        <v>61</v>
      </c>
      <c r="B123" s="3" t="s">
        <v>193</v>
      </c>
      <c r="C123" s="3" t="s">
        <v>167</v>
      </c>
      <c r="D123" s="42">
        <v>36</v>
      </c>
      <c r="E123" s="42">
        <v>12.3</v>
      </c>
      <c r="F123" s="27">
        <v>0.34060000000000001</v>
      </c>
    </row>
    <row r="124" spans="1:6">
      <c r="A124" s="51">
        <v>62</v>
      </c>
      <c r="B124" s="3" t="s">
        <v>194</v>
      </c>
      <c r="C124" s="3" t="s">
        <v>195</v>
      </c>
      <c r="D124" s="42">
        <v>35.4</v>
      </c>
      <c r="E124" s="42">
        <v>4.5999999999999996</v>
      </c>
      <c r="F124" s="27">
        <v>0.12870000000000001</v>
      </c>
    </row>
    <row r="125" spans="1:6">
      <c r="A125" s="51">
        <v>63</v>
      </c>
      <c r="B125" s="3" t="s">
        <v>196</v>
      </c>
      <c r="C125" s="3" t="s">
        <v>121</v>
      </c>
      <c r="D125" s="42">
        <v>34.799999999999997</v>
      </c>
      <c r="E125" s="42">
        <v>11.2</v>
      </c>
      <c r="F125" s="27">
        <v>0.32240000000000002</v>
      </c>
    </row>
    <row r="126" spans="1:6">
      <c r="A126" s="51">
        <v>66</v>
      </c>
      <c r="B126" s="3" t="s">
        <v>199</v>
      </c>
      <c r="C126" s="3" t="s">
        <v>200</v>
      </c>
      <c r="D126" s="42">
        <v>33.200000000000003</v>
      </c>
      <c r="E126" s="42">
        <v>3.6</v>
      </c>
      <c r="F126" s="27">
        <v>0.1085</v>
      </c>
    </row>
    <row r="127" spans="1:6">
      <c r="A127" s="51">
        <v>68</v>
      </c>
      <c r="B127" s="3" t="s">
        <v>202</v>
      </c>
      <c r="C127" s="3" t="s">
        <v>121</v>
      </c>
      <c r="D127" s="42">
        <v>30.3</v>
      </c>
      <c r="E127" s="42">
        <v>3.9</v>
      </c>
      <c r="F127" s="27">
        <v>0.13009999999999999</v>
      </c>
    </row>
    <row r="128" spans="1:6">
      <c r="A128" s="51">
        <v>69</v>
      </c>
      <c r="B128" s="3" t="s">
        <v>203</v>
      </c>
      <c r="C128" s="3" t="s">
        <v>137</v>
      </c>
      <c r="D128" s="42">
        <v>30.1</v>
      </c>
      <c r="E128" s="42">
        <v>3.3</v>
      </c>
      <c r="F128" s="27">
        <v>0.1108</v>
      </c>
    </row>
    <row r="129" spans="1:6">
      <c r="A129" s="51">
        <v>70</v>
      </c>
      <c r="B129" s="3" t="s">
        <v>204</v>
      </c>
      <c r="C129" s="3" t="s">
        <v>128</v>
      </c>
      <c r="D129" s="42">
        <v>29.9</v>
      </c>
      <c r="E129" s="42">
        <v>4.5999999999999996</v>
      </c>
      <c r="F129" s="27">
        <v>0.1525</v>
      </c>
    </row>
    <row r="130" spans="1:6">
      <c r="A130" s="51">
        <v>71</v>
      </c>
      <c r="B130" s="3" t="s">
        <v>205</v>
      </c>
      <c r="C130" s="3" t="s">
        <v>128</v>
      </c>
      <c r="D130" s="42">
        <v>29.7</v>
      </c>
      <c r="E130" s="42">
        <v>4.5999999999999996</v>
      </c>
      <c r="F130" s="27">
        <v>0.15340000000000001</v>
      </c>
    </row>
    <row r="131" spans="1:6">
      <c r="A131" s="51">
        <v>72</v>
      </c>
      <c r="B131" s="3" t="s">
        <v>206</v>
      </c>
      <c r="C131" s="3" t="s">
        <v>121</v>
      </c>
      <c r="D131" s="42">
        <v>29</v>
      </c>
      <c r="E131" s="42">
        <v>7.2</v>
      </c>
      <c r="F131" s="27">
        <v>0.2477</v>
      </c>
    </row>
    <row r="132" spans="1:6">
      <c r="A132" s="51">
        <v>73</v>
      </c>
      <c r="B132" s="3" t="s">
        <v>207</v>
      </c>
      <c r="C132" s="3" t="s">
        <v>121</v>
      </c>
      <c r="D132" s="42">
        <v>28.9</v>
      </c>
      <c r="E132" s="42">
        <v>6.8</v>
      </c>
      <c r="F132" s="27">
        <v>0.23330000000000001</v>
      </c>
    </row>
    <row r="133" spans="1:6">
      <c r="A133" s="51">
        <v>74</v>
      </c>
      <c r="B133" s="3" t="s">
        <v>208</v>
      </c>
      <c r="C133" s="3" t="s">
        <v>121</v>
      </c>
      <c r="D133" s="42">
        <v>28.6</v>
      </c>
      <c r="E133" s="42">
        <v>4.2</v>
      </c>
      <c r="F133" s="27">
        <v>0.1472</v>
      </c>
    </row>
    <row r="134" spans="1:6">
      <c r="A134" s="51">
        <v>76</v>
      </c>
      <c r="B134" s="3" t="s">
        <v>210</v>
      </c>
      <c r="C134" s="3" t="s">
        <v>121</v>
      </c>
      <c r="D134" s="42">
        <v>28.2</v>
      </c>
      <c r="E134" s="42">
        <v>5.6</v>
      </c>
      <c r="F134" s="27">
        <v>0.1988</v>
      </c>
    </row>
    <row r="135" spans="1:6">
      <c r="A135" s="51">
        <v>77</v>
      </c>
      <c r="B135" s="3" t="s">
        <v>211</v>
      </c>
      <c r="C135" s="3" t="s">
        <v>121</v>
      </c>
      <c r="D135" s="42">
        <v>28.2</v>
      </c>
      <c r="E135" s="42">
        <v>4.7</v>
      </c>
      <c r="F135" s="27">
        <v>0.16769999999999999</v>
      </c>
    </row>
    <row r="136" spans="1:6">
      <c r="A136" s="51">
        <v>78</v>
      </c>
      <c r="B136" s="3" t="s">
        <v>212</v>
      </c>
      <c r="C136" s="3" t="s">
        <v>167</v>
      </c>
      <c r="D136" s="42">
        <v>28</v>
      </c>
      <c r="E136" s="42">
        <v>3.6</v>
      </c>
      <c r="F136" s="27">
        <v>0.1285</v>
      </c>
    </row>
    <row r="137" spans="1:6">
      <c r="A137" s="51">
        <v>82</v>
      </c>
      <c r="B137" s="3" t="s">
        <v>216</v>
      </c>
      <c r="C137" s="3" t="s">
        <v>121</v>
      </c>
      <c r="D137" s="42">
        <v>25.2</v>
      </c>
      <c r="E137" s="42">
        <v>7</v>
      </c>
      <c r="F137" s="27">
        <v>0.2787</v>
      </c>
    </row>
    <row r="138" spans="1:6">
      <c r="A138" s="51">
        <v>83</v>
      </c>
      <c r="B138" s="3" t="s">
        <v>217</v>
      </c>
      <c r="C138" s="3" t="s">
        <v>184</v>
      </c>
      <c r="D138" s="42">
        <v>24.5</v>
      </c>
      <c r="E138" s="42">
        <v>2.5</v>
      </c>
      <c r="F138" s="27">
        <v>0.10390000000000001</v>
      </c>
    </row>
    <row r="139" spans="1:6">
      <c r="A139" s="51">
        <v>84</v>
      </c>
      <c r="B139" s="3" t="s">
        <v>218</v>
      </c>
      <c r="C139" s="3" t="s">
        <v>162</v>
      </c>
      <c r="D139" s="42">
        <v>24.3</v>
      </c>
      <c r="E139" s="42">
        <v>2.8</v>
      </c>
      <c r="F139" s="27">
        <v>0.11550000000000001</v>
      </c>
    </row>
    <row r="140" spans="1:6">
      <c r="A140" s="51">
        <v>85</v>
      </c>
      <c r="B140" s="3" t="s">
        <v>219</v>
      </c>
      <c r="C140" s="3" t="s">
        <v>137</v>
      </c>
      <c r="D140" s="42">
        <v>23.8</v>
      </c>
      <c r="E140" s="42">
        <v>3.8</v>
      </c>
      <c r="F140" s="27">
        <v>0.15870000000000001</v>
      </c>
    </row>
    <row r="141" spans="1:6">
      <c r="A141" s="51">
        <v>86</v>
      </c>
      <c r="B141" s="3" t="s">
        <v>220</v>
      </c>
      <c r="C141" s="3" t="s">
        <v>126</v>
      </c>
      <c r="D141" s="42">
        <v>23.7</v>
      </c>
      <c r="E141" s="42">
        <v>3.5</v>
      </c>
      <c r="F141" s="27">
        <v>0.14810000000000001</v>
      </c>
    </row>
    <row r="142" spans="1:6">
      <c r="A142" s="51">
        <v>87</v>
      </c>
      <c r="B142" s="3" t="s">
        <v>221</v>
      </c>
      <c r="C142" s="3" t="s">
        <v>128</v>
      </c>
      <c r="D142" s="42">
        <v>23.7</v>
      </c>
      <c r="E142" s="42">
        <v>2.5</v>
      </c>
      <c r="F142" s="27">
        <v>0.1074</v>
      </c>
    </row>
    <row r="143" spans="1:6">
      <c r="A143" s="51">
        <v>89</v>
      </c>
      <c r="B143" s="3" t="s">
        <v>223</v>
      </c>
      <c r="C143" s="3" t="s">
        <v>121</v>
      </c>
      <c r="D143" s="42">
        <v>23.4</v>
      </c>
      <c r="E143" s="42">
        <v>5.9</v>
      </c>
      <c r="F143" s="27">
        <v>0.25090000000000001</v>
      </c>
    </row>
    <row r="144" spans="1:6">
      <c r="A144" s="51">
        <v>90</v>
      </c>
      <c r="B144" s="3" t="s">
        <v>224</v>
      </c>
      <c r="C144" s="3" t="s">
        <v>121</v>
      </c>
      <c r="D144" s="42">
        <v>23.3</v>
      </c>
      <c r="E144" s="42">
        <v>3.2</v>
      </c>
      <c r="F144" s="27">
        <v>0.1353</v>
      </c>
    </row>
    <row r="145" spans="1:6">
      <c r="A145" s="51">
        <v>91</v>
      </c>
      <c r="B145" s="3" t="s">
        <v>225</v>
      </c>
      <c r="C145" s="3" t="s">
        <v>143</v>
      </c>
      <c r="D145" s="42">
        <v>22.8</v>
      </c>
      <c r="E145" s="42">
        <v>4.5</v>
      </c>
      <c r="F145" s="27">
        <v>0.19620000000000001</v>
      </c>
    </row>
    <row r="146" spans="1:6">
      <c r="A146" s="51">
        <v>92</v>
      </c>
      <c r="B146" s="3" t="s">
        <v>226</v>
      </c>
      <c r="C146" s="3" t="s">
        <v>121</v>
      </c>
      <c r="D146" s="42">
        <v>22.1</v>
      </c>
      <c r="E146" s="42">
        <v>6.4</v>
      </c>
      <c r="F146" s="27">
        <v>0.28970000000000001</v>
      </c>
    </row>
    <row r="147" spans="1:6">
      <c r="A147" s="51">
        <v>93</v>
      </c>
      <c r="B147" s="3" t="s">
        <v>227</v>
      </c>
      <c r="C147" s="3" t="s">
        <v>121</v>
      </c>
      <c r="D147" s="42">
        <v>21.9</v>
      </c>
      <c r="E147" s="42">
        <v>2.5</v>
      </c>
      <c r="F147" s="27">
        <v>0.112</v>
      </c>
    </row>
    <row r="148" spans="1:6">
      <c r="A148" s="51">
        <v>94</v>
      </c>
      <c r="B148" s="3" t="s">
        <v>228</v>
      </c>
      <c r="C148" s="3" t="s">
        <v>121</v>
      </c>
      <c r="D148" s="42">
        <v>21.7</v>
      </c>
      <c r="E148" s="42">
        <v>3.5</v>
      </c>
      <c r="F148" s="27">
        <v>0.16189999999999999</v>
      </c>
    </row>
    <row r="149" spans="1:6">
      <c r="A149" s="51">
        <v>97</v>
      </c>
      <c r="B149" s="3" t="s">
        <v>232</v>
      </c>
      <c r="C149" s="3" t="s">
        <v>121</v>
      </c>
      <c r="D149" s="42">
        <v>21.5</v>
      </c>
      <c r="E149" s="42">
        <v>5.4</v>
      </c>
      <c r="F149" s="27">
        <v>0.25309999999999999</v>
      </c>
    </row>
    <row r="151" spans="1:6">
      <c r="C151" s="41" t="s">
        <v>235</v>
      </c>
      <c r="D151" s="57">
        <f>SUM(D83:D149)</f>
        <v>3641.5999999999995</v>
      </c>
      <c r="E151" s="57">
        <f>SUM(E83:E149)</f>
        <v>650.4</v>
      </c>
    </row>
    <row r="154" spans="1:6" ht="57.6">
      <c r="B154" s="7" t="s">
        <v>237</v>
      </c>
    </row>
    <row r="157" spans="1:6" ht="28.8">
      <c r="A157" s="49" t="s">
        <v>115</v>
      </c>
      <c r="B157" s="49" t="s">
        <v>116</v>
      </c>
      <c r="C157" s="49" t="s">
        <v>117</v>
      </c>
      <c r="D157" s="49" t="s">
        <v>118</v>
      </c>
      <c r="E157" s="49" t="s">
        <v>119</v>
      </c>
      <c r="F157" s="50" t="s">
        <v>120</v>
      </c>
    </row>
    <row r="158" spans="1:6">
      <c r="A158" s="51">
        <v>1</v>
      </c>
      <c r="B158" s="3" t="s">
        <v>76</v>
      </c>
      <c r="C158" s="3" t="s">
        <v>121</v>
      </c>
      <c r="D158" s="42">
        <v>257.8</v>
      </c>
      <c r="E158" s="42">
        <v>56</v>
      </c>
      <c r="F158" s="27">
        <v>0.21729999999999999</v>
      </c>
    </row>
    <row r="159" spans="1:6">
      <c r="A159" s="52">
        <v>2</v>
      </c>
      <c r="B159" s="53" t="s">
        <v>122</v>
      </c>
      <c r="C159" s="53" t="s">
        <v>121</v>
      </c>
      <c r="D159" s="54">
        <v>215.3</v>
      </c>
      <c r="E159" s="54">
        <v>37.299999999999997</v>
      </c>
      <c r="F159" s="55">
        <v>0.1731</v>
      </c>
    </row>
    <row r="160" spans="1:6">
      <c r="A160" s="52">
        <v>3</v>
      </c>
      <c r="B160" s="53" t="s">
        <v>123</v>
      </c>
      <c r="C160" s="53" t="s">
        <v>124</v>
      </c>
      <c r="D160" s="54">
        <v>201.4</v>
      </c>
      <c r="E160" s="54">
        <v>43.2</v>
      </c>
      <c r="F160" s="55">
        <v>0.21460000000000001</v>
      </c>
    </row>
    <row r="161" spans="1:6">
      <c r="A161" s="51">
        <v>4</v>
      </c>
      <c r="B161" s="3" t="s">
        <v>125</v>
      </c>
      <c r="C161" s="3" t="s">
        <v>126</v>
      </c>
      <c r="D161" s="42">
        <v>176</v>
      </c>
      <c r="E161" s="42">
        <v>19.399999999999999</v>
      </c>
      <c r="F161" s="27">
        <v>0.1101</v>
      </c>
    </row>
    <row r="162" spans="1:6">
      <c r="A162" s="52">
        <v>5</v>
      </c>
      <c r="B162" s="53" t="s">
        <v>127</v>
      </c>
      <c r="C162" s="53" t="s">
        <v>128</v>
      </c>
      <c r="D162" s="54">
        <v>167.1</v>
      </c>
      <c r="E162" s="54">
        <v>40.200000000000003</v>
      </c>
      <c r="F162" s="55">
        <v>0.2404</v>
      </c>
    </row>
    <row r="163" spans="1:6">
      <c r="A163" s="51">
        <v>6</v>
      </c>
      <c r="B163" s="3" t="s">
        <v>129</v>
      </c>
      <c r="C163" s="3" t="s">
        <v>121</v>
      </c>
      <c r="D163" s="42">
        <v>160</v>
      </c>
      <c r="E163" s="42">
        <v>35.299999999999997</v>
      </c>
      <c r="F163" s="27">
        <v>0.22090000000000001</v>
      </c>
    </row>
    <row r="164" spans="1:6">
      <c r="A164" s="52">
        <v>7</v>
      </c>
      <c r="B164" s="53" t="s">
        <v>130</v>
      </c>
      <c r="C164" s="53" t="s">
        <v>128</v>
      </c>
      <c r="D164" s="54">
        <v>152.19999999999999</v>
      </c>
      <c r="E164" s="54">
        <v>34.5</v>
      </c>
      <c r="F164" s="55">
        <v>0.22650000000000001</v>
      </c>
    </row>
    <row r="165" spans="1:6">
      <c r="A165" s="51">
        <v>8</v>
      </c>
      <c r="B165" s="3" t="s">
        <v>131</v>
      </c>
      <c r="C165" s="3" t="s">
        <v>128</v>
      </c>
      <c r="D165" s="42">
        <v>148.30000000000001</v>
      </c>
      <c r="E165" s="42">
        <v>18.2</v>
      </c>
      <c r="F165" s="27">
        <v>0.123</v>
      </c>
    </row>
    <row r="166" spans="1:6">
      <c r="A166" s="52">
        <v>9</v>
      </c>
      <c r="B166" s="53" t="s">
        <v>132</v>
      </c>
      <c r="C166" s="53" t="s">
        <v>128</v>
      </c>
      <c r="D166" s="54">
        <v>135</v>
      </c>
      <c r="E166" s="54">
        <v>27.5</v>
      </c>
      <c r="F166" s="55">
        <v>0.2034</v>
      </c>
    </row>
    <row r="167" spans="1:6">
      <c r="A167" s="51">
        <v>10</v>
      </c>
      <c r="B167" s="3" t="s">
        <v>79</v>
      </c>
      <c r="C167" s="3" t="s">
        <v>121</v>
      </c>
      <c r="D167" s="42">
        <v>134.4</v>
      </c>
      <c r="E167" s="42">
        <v>45</v>
      </c>
      <c r="F167" s="27">
        <v>0.33460000000000001</v>
      </c>
    </row>
    <row r="168" spans="1:6">
      <c r="A168" s="52">
        <v>11</v>
      </c>
      <c r="B168" s="53" t="s">
        <v>133</v>
      </c>
      <c r="C168" s="53" t="s">
        <v>121</v>
      </c>
      <c r="D168" s="54">
        <v>119.4</v>
      </c>
      <c r="E168" s="54">
        <v>35.4</v>
      </c>
      <c r="F168" s="55">
        <v>0.29659999999999997</v>
      </c>
    </row>
    <row r="169" spans="1:6">
      <c r="A169" s="52">
        <v>12</v>
      </c>
      <c r="B169" s="53" t="s">
        <v>134</v>
      </c>
      <c r="C169" s="53" t="s">
        <v>128</v>
      </c>
      <c r="D169" s="54">
        <v>117.5</v>
      </c>
      <c r="E169" s="54">
        <v>24.5</v>
      </c>
      <c r="F169" s="55">
        <v>0.2082</v>
      </c>
    </row>
    <row r="170" spans="1:6">
      <c r="A170" s="51">
        <v>13</v>
      </c>
      <c r="B170" s="3" t="s">
        <v>135</v>
      </c>
      <c r="C170" s="3" t="s">
        <v>121</v>
      </c>
      <c r="D170" s="42">
        <v>112.5</v>
      </c>
      <c r="E170" s="42">
        <v>15.6</v>
      </c>
      <c r="F170" s="27">
        <v>0.13869999999999999</v>
      </c>
    </row>
    <row r="171" spans="1:6">
      <c r="A171" s="51">
        <v>14</v>
      </c>
      <c r="B171" s="3" t="s">
        <v>136</v>
      </c>
      <c r="C171" s="3" t="s">
        <v>137</v>
      </c>
      <c r="D171" s="42">
        <v>97.6</v>
      </c>
      <c r="E171" s="42">
        <v>13.7</v>
      </c>
      <c r="F171" s="27">
        <v>0.14019999999999999</v>
      </c>
    </row>
    <row r="172" spans="1:6">
      <c r="A172" s="51">
        <v>15</v>
      </c>
      <c r="B172" s="3" t="s">
        <v>138</v>
      </c>
      <c r="C172" s="3" t="s">
        <v>121</v>
      </c>
      <c r="D172" s="42">
        <v>96.1</v>
      </c>
      <c r="E172" s="42">
        <v>10.3</v>
      </c>
      <c r="F172" s="27">
        <v>0.1077</v>
      </c>
    </row>
    <row r="173" spans="1:6">
      <c r="A173" s="51">
        <v>16</v>
      </c>
      <c r="B173" s="3" t="s">
        <v>139</v>
      </c>
      <c r="C173" s="3" t="s">
        <v>121</v>
      </c>
      <c r="D173" s="42">
        <v>90.9</v>
      </c>
      <c r="E173" s="42">
        <v>9.1999999999999993</v>
      </c>
      <c r="F173" s="27">
        <v>0.1014</v>
      </c>
    </row>
    <row r="174" spans="1:6">
      <c r="A174" s="52">
        <v>17</v>
      </c>
      <c r="B174" s="53" t="s">
        <v>140</v>
      </c>
      <c r="C174" s="53" t="s">
        <v>121</v>
      </c>
      <c r="D174" s="54">
        <v>86.6</v>
      </c>
      <c r="E174" s="54">
        <v>15.7</v>
      </c>
      <c r="F174" s="55">
        <v>0.1812</v>
      </c>
    </row>
    <row r="175" spans="1:6">
      <c r="A175" s="51">
        <v>18</v>
      </c>
      <c r="B175" s="3" t="s">
        <v>141</v>
      </c>
      <c r="C175" s="3" t="s">
        <v>128</v>
      </c>
      <c r="D175" s="42">
        <v>82.3</v>
      </c>
      <c r="E175" s="42">
        <v>20.399999999999999</v>
      </c>
      <c r="F175" s="27">
        <v>0.24840000000000001</v>
      </c>
    </row>
    <row r="176" spans="1:6">
      <c r="A176" s="51">
        <v>19</v>
      </c>
      <c r="B176" s="3" t="s">
        <v>142</v>
      </c>
      <c r="C176" s="3" t="s">
        <v>143</v>
      </c>
      <c r="D176" s="42">
        <v>78.8</v>
      </c>
      <c r="E176" s="42">
        <v>11.4</v>
      </c>
      <c r="F176" s="27">
        <v>0.14460000000000001</v>
      </c>
    </row>
    <row r="177" spans="1:6">
      <c r="A177" s="51">
        <v>20</v>
      </c>
      <c r="B177" s="3" t="s">
        <v>77</v>
      </c>
      <c r="C177" s="3" t="s">
        <v>121</v>
      </c>
      <c r="D177" s="42">
        <v>75.400000000000006</v>
      </c>
      <c r="E177" s="42">
        <v>25.5</v>
      </c>
      <c r="F177" s="27">
        <v>0.33839999999999998</v>
      </c>
    </row>
    <row r="178" spans="1:6">
      <c r="A178" s="52">
        <v>21</v>
      </c>
      <c r="B178" s="53" t="s">
        <v>144</v>
      </c>
      <c r="C178" s="53" t="s">
        <v>121</v>
      </c>
      <c r="D178" s="54">
        <v>74</v>
      </c>
      <c r="E178" s="54">
        <v>15</v>
      </c>
      <c r="F178" s="55">
        <v>0.2026</v>
      </c>
    </row>
    <row r="179" spans="1:6">
      <c r="A179" s="51">
        <v>22</v>
      </c>
      <c r="B179" s="3" t="s">
        <v>145</v>
      </c>
      <c r="C179" s="3" t="s">
        <v>121</v>
      </c>
      <c r="D179" s="42">
        <v>72.400000000000006</v>
      </c>
      <c r="E179" s="42">
        <v>12.9</v>
      </c>
      <c r="F179" s="27">
        <v>0.17799999999999999</v>
      </c>
    </row>
    <row r="180" spans="1:6">
      <c r="A180" s="51">
        <v>23</v>
      </c>
      <c r="B180" s="3" t="s">
        <v>146</v>
      </c>
      <c r="C180" s="3" t="s">
        <v>147</v>
      </c>
      <c r="D180" s="42">
        <v>70.099999999999994</v>
      </c>
      <c r="E180" s="42">
        <v>8.9</v>
      </c>
      <c r="F180" s="27">
        <v>0.12640000000000001</v>
      </c>
    </row>
    <row r="181" spans="1:6">
      <c r="A181" s="51">
        <v>24</v>
      </c>
      <c r="B181" s="3" t="s">
        <v>148</v>
      </c>
      <c r="C181" s="3" t="s">
        <v>121</v>
      </c>
      <c r="D181" s="42">
        <v>68.3</v>
      </c>
      <c r="E181" s="42">
        <v>18.3</v>
      </c>
      <c r="F181" s="27">
        <v>0.26829999999999998</v>
      </c>
    </row>
    <row r="182" spans="1:6">
      <c r="A182" s="51">
        <v>25</v>
      </c>
      <c r="B182" s="3" t="s">
        <v>149</v>
      </c>
      <c r="C182" s="3" t="s">
        <v>121</v>
      </c>
      <c r="D182" s="42">
        <v>64.900000000000006</v>
      </c>
      <c r="E182" s="42">
        <v>12.1</v>
      </c>
      <c r="F182" s="27">
        <v>0.1865</v>
      </c>
    </row>
    <row r="183" spans="1:6">
      <c r="A183" s="51">
        <v>26</v>
      </c>
      <c r="B183" s="3" t="s">
        <v>150</v>
      </c>
      <c r="C183" s="3" t="s">
        <v>121</v>
      </c>
      <c r="D183" s="42">
        <v>62.5</v>
      </c>
      <c r="E183" s="42">
        <v>6.6</v>
      </c>
      <c r="F183" s="27">
        <v>0.1052</v>
      </c>
    </row>
    <row r="184" spans="1:6">
      <c r="A184" s="51">
        <v>27</v>
      </c>
      <c r="B184" s="3" t="s">
        <v>151</v>
      </c>
      <c r="C184" s="3" t="s">
        <v>137</v>
      </c>
      <c r="D184" s="42">
        <v>62.5</v>
      </c>
      <c r="E184" s="42">
        <v>6.4</v>
      </c>
      <c r="F184" s="27">
        <v>0.1024</v>
      </c>
    </row>
    <row r="185" spans="1:6">
      <c r="A185" s="51">
        <v>28</v>
      </c>
      <c r="B185" s="3" t="s">
        <v>152</v>
      </c>
      <c r="C185" s="3" t="s">
        <v>147</v>
      </c>
      <c r="D185" s="42">
        <v>61.7</v>
      </c>
      <c r="E185" s="42">
        <v>13.1</v>
      </c>
      <c r="F185" s="27">
        <v>0.21190000000000001</v>
      </c>
    </row>
    <row r="186" spans="1:6">
      <c r="A186" s="51">
        <v>29</v>
      </c>
      <c r="B186" s="3" t="s">
        <v>153</v>
      </c>
      <c r="C186" s="3" t="s">
        <v>128</v>
      </c>
      <c r="D186" s="42">
        <v>61.4</v>
      </c>
      <c r="E186" s="42">
        <v>20.399999999999999</v>
      </c>
      <c r="F186" s="27">
        <v>0.33289999999999997</v>
      </c>
    </row>
    <row r="187" spans="1:6">
      <c r="A187" s="51">
        <v>30</v>
      </c>
      <c r="B187" s="3" t="s">
        <v>154</v>
      </c>
      <c r="C187" s="3" t="s">
        <v>121</v>
      </c>
      <c r="D187" s="42">
        <v>60.2</v>
      </c>
      <c r="E187" s="42">
        <v>6.4</v>
      </c>
      <c r="F187" s="27">
        <v>0.10630000000000001</v>
      </c>
    </row>
    <row r="188" spans="1:6">
      <c r="A188" s="52">
        <v>31</v>
      </c>
      <c r="B188" s="53" t="s">
        <v>155</v>
      </c>
      <c r="C188" s="53" t="s">
        <v>128</v>
      </c>
      <c r="D188" s="54">
        <v>59.3</v>
      </c>
      <c r="E188" s="54">
        <v>9.6999999999999993</v>
      </c>
      <c r="F188" s="55">
        <v>0.16420000000000001</v>
      </c>
    </row>
    <row r="189" spans="1:6">
      <c r="A189" s="52">
        <v>32</v>
      </c>
      <c r="B189" s="53" t="s">
        <v>156</v>
      </c>
      <c r="C189" s="53" t="s">
        <v>128</v>
      </c>
      <c r="D189" s="54">
        <v>58.9</v>
      </c>
      <c r="E189" s="54">
        <v>8.1999999999999993</v>
      </c>
      <c r="F189" s="55">
        <v>0.1384</v>
      </c>
    </row>
    <row r="190" spans="1:6">
      <c r="A190" s="51">
        <v>33</v>
      </c>
      <c r="B190" s="3" t="s">
        <v>157</v>
      </c>
      <c r="C190" s="3" t="s">
        <v>121</v>
      </c>
      <c r="D190" s="42">
        <v>57.4</v>
      </c>
      <c r="E190" s="42">
        <v>6</v>
      </c>
      <c r="F190" s="27">
        <v>0.104</v>
      </c>
    </row>
    <row r="191" spans="1:6">
      <c r="A191" s="51">
        <v>34</v>
      </c>
      <c r="B191" s="3" t="s">
        <v>158</v>
      </c>
      <c r="C191" s="3" t="s">
        <v>143</v>
      </c>
      <c r="D191" s="42">
        <v>54.5</v>
      </c>
      <c r="E191" s="42">
        <v>13.3</v>
      </c>
      <c r="F191" s="27">
        <v>0.24479999999999999</v>
      </c>
    </row>
    <row r="192" spans="1:6">
      <c r="A192" s="52">
        <v>35</v>
      </c>
      <c r="B192" s="53" t="s">
        <v>159</v>
      </c>
      <c r="C192" s="53" t="s">
        <v>121</v>
      </c>
      <c r="D192" s="54">
        <v>54.2</v>
      </c>
      <c r="E192" s="54">
        <v>13.2</v>
      </c>
      <c r="F192" s="55">
        <v>0.24429999999999999</v>
      </c>
    </row>
    <row r="193" spans="1:6">
      <c r="A193" s="52">
        <v>36</v>
      </c>
      <c r="B193" s="53" t="s">
        <v>160</v>
      </c>
      <c r="C193" s="53" t="s">
        <v>128</v>
      </c>
      <c r="D193" s="54">
        <v>53</v>
      </c>
      <c r="E193" s="54">
        <v>12.4</v>
      </c>
      <c r="F193" s="55">
        <v>0.2334</v>
      </c>
    </row>
    <row r="194" spans="1:6">
      <c r="A194" s="51">
        <v>37</v>
      </c>
      <c r="B194" s="3" t="s">
        <v>161</v>
      </c>
      <c r="C194" s="3" t="s">
        <v>162</v>
      </c>
      <c r="D194" s="42">
        <v>50.7</v>
      </c>
      <c r="E194" s="42">
        <v>5.5</v>
      </c>
      <c r="F194" s="27">
        <v>0.109</v>
      </c>
    </row>
    <row r="195" spans="1:6">
      <c r="A195" s="52">
        <v>38</v>
      </c>
      <c r="B195" s="53" t="s">
        <v>163</v>
      </c>
      <c r="C195" s="53" t="s">
        <v>121</v>
      </c>
      <c r="D195" s="54">
        <v>49.7</v>
      </c>
      <c r="E195" s="54">
        <v>11.8</v>
      </c>
      <c r="F195" s="55">
        <v>0.23630000000000001</v>
      </c>
    </row>
    <row r="196" spans="1:6">
      <c r="A196" s="52">
        <v>39</v>
      </c>
      <c r="B196" s="53" t="s">
        <v>164</v>
      </c>
      <c r="C196" s="53" t="s">
        <v>128</v>
      </c>
      <c r="D196" s="54">
        <v>47.2</v>
      </c>
      <c r="E196" s="54">
        <v>8.5</v>
      </c>
      <c r="F196" s="55">
        <v>0.18029999999999999</v>
      </c>
    </row>
    <row r="197" spans="1:6">
      <c r="A197" s="52">
        <v>40</v>
      </c>
      <c r="B197" s="53" t="s">
        <v>165</v>
      </c>
      <c r="C197" s="53" t="s">
        <v>128</v>
      </c>
      <c r="D197" s="54">
        <v>45.9</v>
      </c>
      <c r="E197" s="54">
        <v>7.5</v>
      </c>
      <c r="F197" s="55">
        <v>0.16250000000000001</v>
      </c>
    </row>
    <row r="198" spans="1:6">
      <c r="A198" s="51">
        <v>41</v>
      </c>
      <c r="B198" s="3" t="s">
        <v>166</v>
      </c>
      <c r="C198" s="3" t="s">
        <v>167</v>
      </c>
      <c r="D198" s="42">
        <v>44.6</v>
      </c>
      <c r="E198" s="42">
        <v>4.7</v>
      </c>
      <c r="F198" s="27">
        <v>0.1061</v>
      </c>
    </row>
    <row r="199" spans="1:6">
      <c r="A199" s="52">
        <v>42</v>
      </c>
      <c r="B199" s="53" t="s">
        <v>168</v>
      </c>
      <c r="C199" s="53" t="s">
        <v>128</v>
      </c>
      <c r="D199" s="54">
        <v>44.2</v>
      </c>
      <c r="E199" s="54">
        <v>6.2</v>
      </c>
      <c r="F199" s="55">
        <v>0.1409</v>
      </c>
    </row>
    <row r="200" spans="1:6">
      <c r="A200" s="51">
        <v>43</v>
      </c>
      <c r="B200" s="3" t="s">
        <v>169</v>
      </c>
      <c r="C200" s="3" t="s">
        <v>147</v>
      </c>
      <c r="D200" s="42">
        <v>43.2</v>
      </c>
      <c r="E200" s="42">
        <v>5.4</v>
      </c>
      <c r="F200" s="27">
        <v>0.1258</v>
      </c>
    </row>
    <row r="201" spans="1:6">
      <c r="A201" s="52">
        <v>44</v>
      </c>
      <c r="B201" s="53" t="s">
        <v>170</v>
      </c>
      <c r="C201" s="53" t="s">
        <v>128</v>
      </c>
      <c r="D201" s="54">
        <v>43</v>
      </c>
      <c r="E201" s="54">
        <v>4.3</v>
      </c>
      <c r="F201" s="55">
        <v>0.1</v>
      </c>
    </row>
    <row r="202" spans="1:6">
      <c r="A202" s="51">
        <v>45</v>
      </c>
      <c r="B202" s="3" t="s">
        <v>171</v>
      </c>
      <c r="C202" s="3" t="s">
        <v>143</v>
      </c>
      <c r="D202" s="42">
        <v>42.6</v>
      </c>
      <c r="E202" s="42">
        <v>7.1</v>
      </c>
      <c r="F202" s="27">
        <v>0.16669999999999999</v>
      </c>
    </row>
    <row r="203" spans="1:6">
      <c r="A203" s="51">
        <v>46</v>
      </c>
      <c r="B203" s="3" t="s">
        <v>172</v>
      </c>
      <c r="C203" s="3" t="s">
        <v>167</v>
      </c>
      <c r="D203" s="42">
        <v>42.3</v>
      </c>
      <c r="E203" s="42">
        <v>4.8</v>
      </c>
      <c r="F203" s="27">
        <v>0.11409999999999999</v>
      </c>
    </row>
    <row r="204" spans="1:6">
      <c r="A204" s="51">
        <v>47</v>
      </c>
      <c r="B204" s="3" t="s">
        <v>173</v>
      </c>
      <c r="C204" s="3" t="s">
        <v>174</v>
      </c>
      <c r="D204" s="42">
        <v>42.2</v>
      </c>
      <c r="E204" s="42">
        <v>16.399999999999999</v>
      </c>
      <c r="F204" s="27">
        <v>0.38879999999999998</v>
      </c>
    </row>
    <row r="205" spans="1:6">
      <c r="A205" s="51">
        <v>48</v>
      </c>
      <c r="B205" s="3" t="s">
        <v>175</v>
      </c>
      <c r="C205" s="3" t="s">
        <v>121</v>
      </c>
      <c r="D205" s="42">
        <v>42.1</v>
      </c>
      <c r="E205" s="42">
        <v>8.9</v>
      </c>
      <c r="F205" s="27">
        <v>0.2104</v>
      </c>
    </row>
    <row r="206" spans="1:6">
      <c r="A206" s="51">
        <v>49</v>
      </c>
      <c r="B206" s="3" t="s">
        <v>176</v>
      </c>
      <c r="C206" s="3" t="s">
        <v>121</v>
      </c>
      <c r="D206" s="42">
        <v>41.9</v>
      </c>
      <c r="E206" s="42">
        <v>6.2</v>
      </c>
      <c r="F206" s="27">
        <v>0.14849999999999999</v>
      </c>
    </row>
    <row r="207" spans="1:6">
      <c r="A207" s="51">
        <v>50</v>
      </c>
      <c r="B207" s="3" t="s">
        <v>177</v>
      </c>
      <c r="C207" s="3" t="s">
        <v>121</v>
      </c>
      <c r="D207" s="42">
        <v>41.7</v>
      </c>
      <c r="E207" s="42">
        <v>8.4</v>
      </c>
      <c r="F207" s="27">
        <v>0.20169999999999999</v>
      </c>
    </row>
    <row r="208" spans="1:6">
      <c r="A208" s="52">
        <v>51</v>
      </c>
      <c r="B208" s="53" t="s">
        <v>178</v>
      </c>
      <c r="C208" s="53" t="s">
        <v>179</v>
      </c>
      <c r="D208" s="54">
        <v>41.5</v>
      </c>
      <c r="E208" s="54">
        <v>9.1</v>
      </c>
      <c r="F208" s="55">
        <v>0.21990000000000001</v>
      </c>
    </row>
    <row r="209" spans="1:6">
      <c r="A209" s="51">
        <v>52</v>
      </c>
      <c r="B209" s="3" t="s">
        <v>180</v>
      </c>
      <c r="C209" s="3" t="s">
        <v>181</v>
      </c>
      <c r="D209" s="42">
        <v>40.4</v>
      </c>
      <c r="E209" s="42">
        <v>6.1</v>
      </c>
      <c r="F209" s="27">
        <v>0.1497</v>
      </c>
    </row>
    <row r="210" spans="1:6">
      <c r="A210" s="51">
        <v>53</v>
      </c>
      <c r="B210" s="3" t="s">
        <v>182</v>
      </c>
      <c r="C210" s="3" t="s">
        <v>121</v>
      </c>
      <c r="D210" s="42">
        <v>40.200000000000003</v>
      </c>
      <c r="E210" s="42">
        <v>4</v>
      </c>
      <c r="F210" s="27">
        <v>0.1004</v>
      </c>
    </row>
    <row r="211" spans="1:6">
      <c r="A211" s="51">
        <v>54</v>
      </c>
      <c r="B211" s="3" t="s">
        <v>183</v>
      </c>
      <c r="C211" s="3" t="s">
        <v>184</v>
      </c>
      <c r="D211" s="42">
        <v>40.1</v>
      </c>
      <c r="E211" s="42">
        <v>4.8</v>
      </c>
      <c r="F211" s="27">
        <v>0.12039999999999999</v>
      </c>
    </row>
    <row r="212" spans="1:6">
      <c r="A212" s="51">
        <v>55</v>
      </c>
      <c r="B212" s="3" t="s">
        <v>185</v>
      </c>
      <c r="C212" s="3" t="s">
        <v>121</v>
      </c>
      <c r="D212" s="42">
        <v>39.299999999999997</v>
      </c>
      <c r="E212" s="42">
        <v>4.9000000000000004</v>
      </c>
      <c r="F212" s="27">
        <v>0.125</v>
      </c>
    </row>
    <row r="213" spans="1:6">
      <c r="A213" s="51">
        <v>56</v>
      </c>
      <c r="B213" s="3" t="s">
        <v>186</v>
      </c>
      <c r="C213" s="3" t="s">
        <v>187</v>
      </c>
      <c r="D213" s="42">
        <v>39</v>
      </c>
      <c r="E213" s="42">
        <v>8.5</v>
      </c>
      <c r="F213" s="27">
        <v>0.218</v>
      </c>
    </row>
    <row r="214" spans="1:6">
      <c r="A214" s="51">
        <v>57</v>
      </c>
      <c r="B214" s="3" t="s">
        <v>188</v>
      </c>
      <c r="C214" s="3" t="s">
        <v>162</v>
      </c>
      <c r="D214" s="42">
        <v>38.299999999999997</v>
      </c>
      <c r="E214" s="42">
        <v>6.5</v>
      </c>
      <c r="F214" s="27">
        <v>0.16930000000000001</v>
      </c>
    </row>
    <row r="215" spans="1:6">
      <c r="A215" s="52">
        <v>58</v>
      </c>
      <c r="B215" s="53" t="s">
        <v>189</v>
      </c>
      <c r="C215" s="53" t="s">
        <v>190</v>
      </c>
      <c r="D215" s="54">
        <v>37.6</v>
      </c>
      <c r="E215" s="54">
        <v>7.7</v>
      </c>
      <c r="F215" s="55">
        <v>0.2051</v>
      </c>
    </row>
    <row r="216" spans="1:6">
      <c r="A216" s="51">
        <v>59</v>
      </c>
      <c r="B216" s="3" t="s">
        <v>191</v>
      </c>
      <c r="C216" s="3" t="s">
        <v>137</v>
      </c>
      <c r="D216" s="42">
        <v>37.4</v>
      </c>
      <c r="E216" s="42">
        <v>5.0999999999999996</v>
      </c>
      <c r="F216" s="27">
        <v>0.13619999999999999</v>
      </c>
    </row>
    <row r="217" spans="1:6">
      <c r="A217" s="51">
        <v>60</v>
      </c>
      <c r="B217" s="3" t="s">
        <v>192</v>
      </c>
      <c r="C217" s="3" t="s">
        <v>121</v>
      </c>
      <c r="D217" s="42">
        <v>37.4</v>
      </c>
      <c r="E217" s="42">
        <v>5</v>
      </c>
      <c r="F217" s="27">
        <v>0.1338</v>
      </c>
    </row>
    <row r="218" spans="1:6">
      <c r="A218" s="51">
        <v>61</v>
      </c>
      <c r="B218" s="3" t="s">
        <v>193</v>
      </c>
      <c r="C218" s="3" t="s">
        <v>167</v>
      </c>
      <c r="D218" s="42">
        <v>36</v>
      </c>
      <c r="E218" s="42">
        <v>12.3</v>
      </c>
      <c r="F218" s="27">
        <v>0.34060000000000001</v>
      </c>
    </row>
    <row r="219" spans="1:6">
      <c r="A219" s="51">
        <v>62</v>
      </c>
      <c r="B219" s="3" t="s">
        <v>194</v>
      </c>
      <c r="C219" s="3" t="s">
        <v>195</v>
      </c>
      <c r="D219" s="42">
        <v>35.4</v>
      </c>
      <c r="E219" s="42">
        <v>4.5999999999999996</v>
      </c>
      <c r="F219" s="27">
        <v>0.12870000000000001</v>
      </c>
    </row>
    <row r="220" spans="1:6">
      <c r="A220" s="51">
        <v>63</v>
      </c>
      <c r="B220" s="3" t="s">
        <v>196</v>
      </c>
      <c r="C220" s="3" t="s">
        <v>121</v>
      </c>
      <c r="D220" s="42">
        <v>34.799999999999997</v>
      </c>
      <c r="E220" s="42">
        <v>11.2</v>
      </c>
      <c r="F220" s="27">
        <v>0.32240000000000002</v>
      </c>
    </row>
    <row r="221" spans="1:6">
      <c r="A221" s="52">
        <v>64</v>
      </c>
      <c r="B221" s="53" t="s">
        <v>197</v>
      </c>
      <c r="C221" s="53" t="s">
        <v>190</v>
      </c>
      <c r="D221" s="54">
        <v>34</v>
      </c>
      <c r="E221" s="54">
        <v>8</v>
      </c>
      <c r="F221" s="55">
        <v>0.23449999999999999</v>
      </c>
    </row>
    <row r="222" spans="1:6">
      <c r="A222" s="52">
        <v>65</v>
      </c>
      <c r="B222" s="53" t="s">
        <v>198</v>
      </c>
      <c r="C222" s="53" t="s">
        <v>147</v>
      </c>
      <c r="D222" s="54">
        <v>33.9</v>
      </c>
      <c r="E222" s="54">
        <v>4.3</v>
      </c>
      <c r="F222" s="55">
        <v>0.12690000000000001</v>
      </c>
    </row>
    <row r="223" spans="1:6">
      <c r="A223" s="51">
        <v>66</v>
      </c>
      <c r="B223" s="3" t="s">
        <v>199</v>
      </c>
      <c r="C223" s="3" t="s">
        <v>200</v>
      </c>
      <c r="D223" s="42">
        <v>33.200000000000003</v>
      </c>
      <c r="E223" s="42">
        <v>3.6</v>
      </c>
      <c r="F223" s="27">
        <v>0.1085</v>
      </c>
    </row>
    <row r="224" spans="1:6">
      <c r="A224" s="52">
        <v>67</v>
      </c>
      <c r="B224" s="53" t="s">
        <v>201</v>
      </c>
      <c r="C224" s="53" t="s">
        <v>128</v>
      </c>
      <c r="D224" s="54">
        <v>32.5</v>
      </c>
      <c r="E224" s="54">
        <v>4.8</v>
      </c>
      <c r="F224" s="55">
        <v>0.1482</v>
      </c>
    </row>
    <row r="225" spans="1:6">
      <c r="A225" s="51">
        <v>68</v>
      </c>
      <c r="B225" s="3" t="s">
        <v>202</v>
      </c>
      <c r="C225" s="3" t="s">
        <v>121</v>
      </c>
      <c r="D225" s="42">
        <v>30.3</v>
      </c>
      <c r="E225" s="42">
        <v>3.9</v>
      </c>
      <c r="F225" s="27">
        <v>0.13009999999999999</v>
      </c>
    </row>
    <row r="226" spans="1:6">
      <c r="A226" s="51">
        <v>69</v>
      </c>
      <c r="B226" s="3" t="s">
        <v>203</v>
      </c>
      <c r="C226" s="3" t="s">
        <v>137</v>
      </c>
      <c r="D226" s="42">
        <v>30.1</v>
      </c>
      <c r="E226" s="42">
        <v>3.3</v>
      </c>
      <c r="F226" s="27">
        <v>0.1108</v>
      </c>
    </row>
    <row r="227" spans="1:6">
      <c r="A227" s="51">
        <v>70</v>
      </c>
      <c r="B227" s="3" t="s">
        <v>204</v>
      </c>
      <c r="C227" s="3" t="s">
        <v>128</v>
      </c>
      <c r="D227" s="42">
        <v>29.9</v>
      </c>
      <c r="E227" s="42">
        <v>4.5999999999999996</v>
      </c>
      <c r="F227" s="27">
        <v>0.1525</v>
      </c>
    </row>
    <row r="228" spans="1:6">
      <c r="A228" s="51">
        <v>71</v>
      </c>
      <c r="B228" s="3" t="s">
        <v>205</v>
      </c>
      <c r="C228" s="3" t="s">
        <v>128</v>
      </c>
      <c r="D228" s="42">
        <v>29.7</v>
      </c>
      <c r="E228" s="42">
        <v>4.5999999999999996</v>
      </c>
      <c r="F228" s="27">
        <v>0.15340000000000001</v>
      </c>
    </row>
    <row r="229" spans="1:6">
      <c r="A229" s="51">
        <v>72</v>
      </c>
      <c r="B229" s="3" t="s">
        <v>206</v>
      </c>
      <c r="C229" s="3" t="s">
        <v>121</v>
      </c>
      <c r="D229" s="42">
        <v>29</v>
      </c>
      <c r="E229" s="42">
        <v>7.2</v>
      </c>
      <c r="F229" s="27">
        <v>0.2477</v>
      </c>
    </row>
    <row r="230" spans="1:6">
      <c r="A230" s="51">
        <v>73</v>
      </c>
      <c r="B230" s="3" t="s">
        <v>207</v>
      </c>
      <c r="C230" s="3" t="s">
        <v>121</v>
      </c>
      <c r="D230" s="42">
        <v>28.9</v>
      </c>
      <c r="E230" s="42">
        <v>6.8</v>
      </c>
      <c r="F230" s="27">
        <v>0.23330000000000001</v>
      </c>
    </row>
    <row r="231" spans="1:6">
      <c r="A231" s="51">
        <v>74</v>
      </c>
      <c r="B231" s="3" t="s">
        <v>208</v>
      </c>
      <c r="C231" s="3" t="s">
        <v>121</v>
      </c>
      <c r="D231" s="42">
        <v>28.6</v>
      </c>
      <c r="E231" s="42">
        <v>4.2</v>
      </c>
      <c r="F231" s="27">
        <v>0.1472</v>
      </c>
    </row>
    <row r="232" spans="1:6">
      <c r="A232" s="52">
        <v>75</v>
      </c>
      <c r="B232" s="53" t="s">
        <v>209</v>
      </c>
      <c r="C232" s="53" t="s">
        <v>143</v>
      </c>
      <c r="D232" s="54">
        <v>28.2</v>
      </c>
      <c r="E232" s="54">
        <v>5.7</v>
      </c>
      <c r="F232" s="55">
        <v>0.2019</v>
      </c>
    </row>
    <row r="233" spans="1:6">
      <c r="A233" s="51">
        <v>76</v>
      </c>
      <c r="B233" s="3" t="s">
        <v>210</v>
      </c>
      <c r="C233" s="3" t="s">
        <v>121</v>
      </c>
      <c r="D233" s="42">
        <v>28.2</v>
      </c>
      <c r="E233" s="42">
        <v>5.6</v>
      </c>
      <c r="F233" s="27">
        <v>0.1988</v>
      </c>
    </row>
    <row r="234" spans="1:6">
      <c r="A234" s="51">
        <v>77</v>
      </c>
      <c r="B234" s="3" t="s">
        <v>211</v>
      </c>
      <c r="C234" s="3" t="s">
        <v>121</v>
      </c>
      <c r="D234" s="42">
        <v>28.2</v>
      </c>
      <c r="E234" s="42">
        <v>4.7</v>
      </c>
      <c r="F234" s="27">
        <v>0.16769999999999999</v>
      </c>
    </row>
    <row r="235" spans="1:6">
      <c r="A235" s="51">
        <v>78</v>
      </c>
      <c r="B235" s="3" t="s">
        <v>212</v>
      </c>
      <c r="C235" s="3" t="s">
        <v>167</v>
      </c>
      <c r="D235" s="42">
        <v>28</v>
      </c>
      <c r="E235" s="42">
        <v>3.6</v>
      </c>
      <c r="F235" s="27">
        <v>0.1285</v>
      </c>
    </row>
    <row r="236" spans="1:6">
      <c r="A236" s="52">
        <v>80</v>
      </c>
      <c r="B236" s="53" t="s">
        <v>214</v>
      </c>
      <c r="C236" s="53" t="s">
        <v>190</v>
      </c>
      <c r="D236" s="54">
        <v>26.9</v>
      </c>
      <c r="E236" s="54">
        <v>4.5</v>
      </c>
      <c r="F236" s="55">
        <v>0.1661</v>
      </c>
    </row>
    <row r="237" spans="1:6">
      <c r="A237" s="52">
        <v>81</v>
      </c>
      <c r="B237" s="53" t="s">
        <v>215</v>
      </c>
      <c r="C237" s="53" t="s">
        <v>147</v>
      </c>
      <c r="D237" s="54">
        <v>26.6</v>
      </c>
      <c r="E237" s="54">
        <v>3.2</v>
      </c>
      <c r="F237" s="55">
        <v>0.1221</v>
      </c>
    </row>
    <row r="238" spans="1:6">
      <c r="A238" s="51">
        <v>82</v>
      </c>
      <c r="B238" s="3" t="s">
        <v>216</v>
      </c>
      <c r="C238" s="3" t="s">
        <v>121</v>
      </c>
      <c r="D238" s="42">
        <v>25.2</v>
      </c>
      <c r="E238" s="42">
        <v>7</v>
      </c>
      <c r="F238" s="27">
        <v>0.2787</v>
      </c>
    </row>
    <row r="239" spans="1:6">
      <c r="A239" s="51">
        <v>83</v>
      </c>
      <c r="B239" s="3" t="s">
        <v>217</v>
      </c>
      <c r="C239" s="3" t="s">
        <v>184</v>
      </c>
      <c r="D239" s="42">
        <v>24.5</v>
      </c>
      <c r="E239" s="42">
        <v>2.5</v>
      </c>
      <c r="F239" s="27">
        <v>0.10390000000000001</v>
      </c>
    </row>
    <row r="240" spans="1:6">
      <c r="A240" s="51">
        <v>84</v>
      </c>
      <c r="B240" s="3" t="s">
        <v>218</v>
      </c>
      <c r="C240" s="3" t="s">
        <v>162</v>
      </c>
      <c r="D240" s="42">
        <v>24.3</v>
      </c>
      <c r="E240" s="42">
        <v>2.8</v>
      </c>
      <c r="F240" s="27">
        <v>0.11550000000000001</v>
      </c>
    </row>
    <row r="241" spans="1:6">
      <c r="A241" s="51">
        <v>85</v>
      </c>
      <c r="B241" s="3" t="s">
        <v>219</v>
      </c>
      <c r="C241" s="3" t="s">
        <v>137</v>
      </c>
      <c r="D241" s="42">
        <v>23.8</v>
      </c>
      <c r="E241" s="42">
        <v>3.8</v>
      </c>
      <c r="F241" s="27">
        <v>0.15870000000000001</v>
      </c>
    </row>
    <row r="242" spans="1:6">
      <c r="A242" s="51">
        <v>86</v>
      </c>
      <c r="B242" s="3" t="s">
        <v>220</v>
      </c>
      <c r="C242" s="3" t="s">
        <v>126</v>
      </c>
      <c r="D242" s="42">
        <v>23.7</v>
      </c>
      <c r="E242" s="42">
        <v>3.5</v>
      </c>
      <c r="F242" s="27">
        <v>0.14810000000000001</v>
      </c>
    </row>
    <row r="243" spans="1:6">
      <c r="A243" s="51">
        <v>87</v>
      </c>
      <c r="B243" s="3" t="s">
        <v>221</v>
      </c>
      <c r="C243" s="3" t="s">
        <v>128</v>
      </c>
      <c r="D243" s="42">
        <v>23.7</v>
      </c>
      <c r="E243" s="42">
        <v>2.5</v>
      </c>
      <c r="F243" s="27">
        <v>0.1074</v>
      </c>
    </row>
    <row r="244" spans="1:6">
      <c r="A244" s="52">
        <v>88</v>
      </c>
      <c r="B244" s="53" t="s">
        <v>222</v>
      </c>
      <c r="C244" s="53" t="s">
        <v>195</v>
      </c>
      <c r="D244" s="54">
        <v>23.4</v>
      </c>
      <c r="E244" s="54">
        <v>2.8</v>
      </c>
      <c r="F244" s="55">
        <v>0.11990000000000001</v>
      </c>
    </row>
    <row r="245" spans="1:6">
      <c r="A245" s="51">
        <v>89</v>
      </c>
      <c r="B245" s="3" t="s">
        <v>223</v>
      </c>
      <c r="C245" s="3" t="s">
        <v>121</v>
      </c>
      <c r="D245" s="42">
        <v>23.4</v>
      </c>
      <c r="E245" s="42">
        <v>5.9</v>
      </c>
      <c r="F245" s="27">
        <v>0.25090000000000001</v>
      </c>
    </row>
    <row r="246" spans="1:6">
      <c r="A246" s="51">
        <v>90</v>
      </c>
      <c r="B246" s="3" t="s">
        <v>224</v>
      </c>
      <c r="C246" s="3" t="s">
        <v>121</v>
      </c>
      <c r="D246" s="42">
        <v>23.3</v>
      </c>
      <c r="E246" s="42">
        <v>3.2</v>
      </c>
      <c r="F246" s="27">
        <v>0.1353</v>
      </c>
    </row>
    <row r="247" spans="1:6">
      <c r="A247" s="51">
        <v>91</v>
      </c>
      <c r="B247" s="3" t="s">
        <v>225</v>
      </c>
      <c r="C247" s="3" t="s">
        <v>143</v>
      </c>
      <c r="D247" s="42">
        <v>22.8</v>
      </c>
      <c r="E247" s="42">
        <v>4.5</v>
      </c>
      <c r="F247" s="27">
        <v>0.19620000000000001</v>
      </c>
    </row>
    <row r="248" spans="1:6">
      <c r="A248" s="51">
        <v>92</v>
      </c>
      <c r="B248" s="3" t="s">
        <v>226</v>
      </c>
      <c r="C248" s="3" t="s">
        <v>121</v>
      </c>
      <c r="D248" s="42">
        <v>22.1</v>
      </c>
      <c r="E248" s="42">
        <v>6.4</v>
      </c>
      <c r="F248" s="27">
        <v>0.28970000000000001</v>
      </c>
    </row>
    <row r="249" spans="1:6">
      <c r="A249" s="51">
        <v>93</v>
      </c>
      <c r="B249" s="3" t="s">
        <v>227</v>
      </c>
      <c r="C249" s="3" t="s">
        <v>121</v>
      </c>
      <c r="D249" s="42">
        <v>21.9</v>
      </c>
      <c r="E249" s="42">
        <v>2.5</v>
      </c>
      <c r="F249" s="27">
        <v>0.112</v>
      </c>
    </row>
    <row r="250" spans="1:6">
      <c r="A250" s="51">
        <v>94</v>
      </c>
      <c r="B250" s="3" t="s">
        <v>228</v>
      </c>
      <c r="C250" s="3" t="s">
        <v>121</v>
      </c>
      <c r="D250" s="42">
        <v>21.7</v>
      </c>
      <c r="E250" s="42">
        <v>3.5</v>
      </c>
      <c r="F250" s="27">
        <v>0.16189999999999999</v>
      </c>
    </row>
    <row r="251" spans="1:6">
      <c r="A251" s="52">
        <v>95</v>
      </c>
      <c r="B251" s="53" t="s">
        <v>229</v>
      </c>
      <c r="C251" s="53" t="s">
        <v>190</v>
      </c>
      <c r="D251" s="54">
        <v>21.5</v>
      </c>
      <c r="E251" s="54">
        <v>3.6</v>
      </c>
      <c r="F251" s="55">
        <v>0.1673</v>
      </c>
    </row>
    <row r="252" spans="1:6">
      <c r="A252" s="52">
        <v>96</v>
      </c>
      <c r="B252" s="53" t="s">
        <v>230</v>
      </c>
      <c r="C252" s="53" t="s">
        <v>231</v>
      </c>
      <c r="D252" s="54">
        <v>21.5</v>
      </c>
      <c r="E252" s="54">
        <v>2.2999999999999998</v>
      </c>
      <c r="F252" s="55">
        <v>0.1061</v>
      </c>
    </row>
    <row r="253" spans="1:6">
      <c r="A253" s="51">
        <v>97</v>
      </c>
      <c r="B253" s="3" t="s">
        <v>232</v>
      </c>
      <c r="C253" s="3" t="s">
        <v>121</v>
      </c>
      <c r="D253" s="42">
        <v>21.5</v>
      </c>
      <c r="E253" s="42">
        <v>5.4</v>
      </c>
      <c r="F253" s="27">
        <v>0.25309999999999999</v>
      </c>
    </row>
    <row r="254" spans="1:6">
      <c r="A254" s="52">
        <v>98</v>
      </c>
      <c r="B254" s="53" t="s">
        <v>233</v>
      </c>
      <c r="C254" s="53" t="s">
        <v>121</v>
      </c>
      <c r="D254" s="54">
        <v>21.3</v>
      </c>
      <c r="E254" s="54">
        <v>4.3</v>
      </c>
      <c r="F254" s="55">
        <v>0.2016</v>
      </c>
    </row>
    <row r="255" spans="1:6">
      <c r="C255" s="41" t="s">
        <v>235</v>
      </c>
      <c r="D255" s="41">
        <f>SUM(D158:D254)</f>
        <v>5714.3999999999978</v>
      </c>
      <c r="E255" s="41">
        <f>SUM(E158:E254)</f>
        <v>1065.8000000000002</v>
      </c>
    </row>
  </sheetData>
  <pageMargins left="0.78749999999999998" right="0.78749999999999998" top="1.05277777777778" bottom="1.05277777777778" header="0.78749999999999998" footer="0.78749999999999998"/>
  <pageSetup paperSize="9" firstPageNumber="0" orientation="portrait" horizontalDpi="300" verticalDpi="300"/>
  <headerFooter>
    <oddHeader>&amp;C&amp;"Times New Roman,Standard"&amp;12&amp;A</oddHeader>
    <oddFooter>&amp;C&amp;"Times New Roman,Standard"&amp;12Seite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zoomScaleNormal="100" workbookViewId="0"/>
  </sheetViews>
  <sheetFormatPr baseColWidth="10" defaultColWidth="10.5546875" defaultRowHeight="14.4"/>
  <sheetData>
    <row r="1" spans="1:6">
      <c r="A1" s="3" t="s">
        <v>37</v>
      </c>
      <c r="B1" s="3" t="s">
        <v>0</v>
      </c>
      <c r="C1" s="3" t="s">
        <v>1</v>
      </c>
      <c r="D1" s="3" t="s">
        <v>2</v>
      </c>
      <c r="E1" s="3" t="s">
        <v>3</v>
      </c>
      <c r="F1" s="3" t="s">
        <v>4</v>
      </c>
    </row>
    <row r="2" spans="1:6">
      <c r="A2" s="10" t="s">
        <v>238</v>
      </c>
      <c r="B2" s="58" t="e">
        <f>AVERAGE(B3:B6)</f>
        <v>#REF!</v>
      </c>
      <c r="C2" s="58" t="e">
        <f>AVERAGE(C3:C6)</f>
        <v>#REF!</v>
      </c>
      <c r="D2" s="58" t="e">
        <f>AVERAGE(D3:D6)</f>
        <v>#REF!</v>
      </c>
      <c r="E2" s="58" t="e">
        <f>AVERAGE(E3:E6)</f>
        <v>#REF!</v>
      </c>
      <c r="F2" s="58" t="e">
        <f>AVERAGE(F3:F6)</f>
        <v>#REF!</v>
      </c>
    </row>
    <row r="3" spans="1:6">
      <c r="A3" s="10" t="s">
        <v>76</v>
      </c>
      <c r="B3" s="43" t="e">
        <f>Apple!#REF!</f>
        <v>#REF!</v>
      </c>
      <c r="C3" s="43" t="e">
        <f>Apple!#REF!</f>
        <v>#REF!</v>
      </c>
      <c r="D3" s="43" t="e">
        <f>Apple!#REF!</f>
        <v>#REF!</v>
      </c>
      <c r="E3" s="43" t="e">
        <f>Apple!#REF!</f>
        <v>#REF!</v>
      </c>
      <c r="F3" s="43" t="e">
        <f>Apple!#REF!</f>
        <v>#REF!</v>
      </c>
    </row>
    <row r="4" spans="1:6">
      <c r="A4" s="10" t="s">
        <v>77</v>
      </c>
      <c r="B4" s="43" t="e">
        <f>Meta!#REF!</f>
        <v>#REF!</v>
      </c>
      <c r="C4" s="43" t="e">
        <f>Meta!#REF!</f>
        <v>#REF!</v>
      </c>
      <c r="D4" s="43" t="e">
        <f>Meta!#REF!</f>
        <v>#REF!</v>
      </c>
      <c r="E4" s="43" t="e">
        <f>Meta!#REF!</f>
        <v>#REF!</v>
      </c>
      <c r="F4" s="43" t="e">
        <f>Meta!#REF!</f>
        <v>#REF!</v>
      </c>
    </row>
    <row r="5" spans="1:6">
      <c r="A5" s="10" t="s">
        <v>78</v>
      </c>
      <c r="B5" s="43" t="e">
        <f>Alphabet!#REF!</f>
        <v>#REF!</v>
      </c>
      <c r="C5" s="43" t="e">
        <f>Alphabet!#REF!</f>
        <v>#REF!</v>
      </c>
      <c r="D5" s="43" t="e">
        <f>Alphabet!#REF!</f>
        <v>#REF!</v>
      </c>
      <c r="E5" s="43" t="e">
        <f>Alphabet!#REF!</f>
        <v>#REF!</v>
      </c>
      <c r="F5" s="43" t="e">
        <f>Alphabet!#REF!</f>
        <v>#REF!</v>
      </c>
    </row>
    <row r="6" spans="1:6">
      <c r="A6" s="10" t="s">
        <v>79</v>
      </c>
      <c r="B6" s="43" t="e">
        <f>Microsoft!#REF!</f>
        <v>#REF!</v>
      </c>
      <c r="C6" s="43" t="e">
        <f>Microsoft!#REF!</f>
        <v>#REF!</v>
      </c>
      <c r="D6" s="43" t="e">
        <f>Microsoft!#REF!</f>
        <v>#REF!</v>
      </c>
      <c r="E6" s="43" t="e">
        <f>Microsoft!#REF!</f>
        <v>#REF!</v>
      </c>
      <c r="F6" s="43" t="e">
        <f>Microsoft!#REF!</f>
        <v>#REF!</v>
      </c>
    </row>
    <row r="7" spans="1:6">
      <c r="A7" s="10" t="s">
        <v>239</v>
      </c>
      <c r="B7" s="43" t="e">
        <f>AVERAGE(B8:B11)</f>
        <v>#REF!</v>
      </c>
      <c r="C7" s="43" t="e">
        <f>AVERAGE(C8:C11)</f>
        <v>#REF!</v>
      </c>
      <c r="D7" s="43" t="e">
        <f>AVERAGE(D8:D11)</f>
        <v>#REF!</v>
      </c>
      <c r="E7" s="43" t="e">
        <f>AVERAGE(E8:E11)</f>
        <v>#REF!</v>
      </c>
      <c r="F7" s="43" t="e">
        <f>AVERAGE(F8:F11)</f>
        <v>#REF!</v>
      </c>
    </row>
    <row r="8" spans="1:6">
      <c r="A8" s="10" t="s">
        <v>76</v>
      </c>
      <c r="B8" s="43" t="e">
        <f>Apple!#REF!</f>
        <v>#REF!</v>
      </c>
      <c r="C8" s="43" t="e">
        <f>Apple!#REF!</f>
        <v>#REF!</v>
      </c>
      <c r="D8" s="43" t="e">
        <f>Apple!#REF!</f>
        <v>#REF!</v>
      </c>
      <c r="E8" s="43" t="e">
        <f>Apple!#REF!</f>
        <v>#REF!</v>
      </c>
      <c r="F8" s="43" t="e">
        <f>Apple!#REF!</f>
        <v>#REF!</v>
      </c>
    </row>
    <row r="9" spans="1:6">
      <c r="A9" s="10" t="s">
        <v>77</v>
      </c>
      <c r="B9" s="43" t="e">
        <f>Meta!#REF!</f>
        <v>#REF!</v>
      </c>
      <c r="C9" s="43" t="e">
        <f>Meta!#REF!</f>
        <v>#REF!</v>
      </c>
      <c r="D9" s="43" t="e">
        <f>Meta!#REF!</f>
        <v>#REF!</v>
      </c>
      <c r="E9" s="43" t="e">
        <f>Meta!#REF!</f>
        <v>#REF!</v>
      </c>
      <c r="F9" s="43" t="e">
        <f>Meta!#REF!</f>
        <v>#REF!</v>
      </c>
    </row>
    <row r="10" spans="1:6">
      <c r="A10" s="10" t="s">
        <v>78</v>
      </c>
      <c r="B10" s="43" t="e">
        <f>Alphabet!#REF!</f>
        <v>#REF!</v>
      </c>
      <c r="C10" s="43" t="e">
        <f>Alphabet!#REF!</f>
        <v>#REF!</v>
      </c>
      <c r="D10" s="43" t="e">
        <f>Alphabet!#REF!</f>
        <v>#REF!</v>
      </c>
      <c r="E10" s="43" t="e">
        <f>Alphabet!#REF!</f>
        <v>#REF!</v>
      </c>
      <c r="F10" s="43" t="e">
        <f>Alphabet!#REF!</f>
        <v>#REF!</v>
      </c>
    </row>
    <row r="11" spans="1:6">
      <c r="A11" s="10" t="s">
        <v>79</v>
      </c>
      <c r="B11" s="43" t="e">
        <f>Microsoft!#REF!</f>
        <v>#REF!</v>
      </c>
      <c r="C11" s="43" t="e">
        <f>Microsoft!#REF!</f>
        <v>#REF!</v>
      </c>
      <c r="D11" s="43" t="e">
        <f>Microsoft!#REF!</f>
        <v>#REF!</v>
      </c>
      <c r="E11" s="43" t="e">
        <f>Microsoft!#REF!</f>
        <v>#REF!</v>
      </c>
      <c r="F11" s="43" t="e">
        <f>Microsoft!#REF!</f>
        <v>#REF!</v>
      </c>
    </row>
    <row r="12" spans="1:6">
      <c r="A12" s="10" t="s">
        <v>240</v>
      </c>
      <c r="B12" s="43" t="e">
        <f>AVERAGE(B13:B16)</f>
        <v>#REF!</v>
      </c>
      <c r="C12" s="43" t="e">
        <f>AVERAGE(C13:C16)</f>
        <v>#REF!</v>
      </c>
      <c r="D12" s="43" t="e">
        <f>AVERAGE(D13:D16)</f>
        <v>#REF!</v>
      </c>
      <c r="E12" s="43" t="e">
        <f>AVERAGE(E13:E16)</f>
        <v>#REF!</v>
      </c>
      <c r="F12" s="43" t="e">
        <f>AVERAGE(F13:F16)</f>
        <v>#REF!</v>
      </c>
    </row>
    <row r="13" spans="1:6">
      <c r="A13" s="10" t="s">
        <v>76</v>
      </c>
      <c r="B13" s="43" t="e">
        <f>Apple!#REF!</f>
        <v>#REF!</v>
      </c>
      <c r="C13" s="43" t="e">
        <f>Apple!#REF!</f>
        <v>#REF!</v>
      </c>
      <c r="D13" s="43" t="e">
        <f>Apple!#REF!</f>
        <v>#REF!</v>
      </c>
      <c r="E13" s="43" t="e">
        <f>Apple!#REF!</f>
        <v>#REF!</v>
      </c>
      <c r="F13" s="43" t="e">
        <f>Apple!#REF!</f>
        <v>#REF!</v>
      </c>
    </row>
    <row r="14" spans="1:6">
      <c r="A14" s="10" t="s">
        <v>77</v>
      </c>
      <c r="B14" s="43" t="e">
        <f>Meta!#REF!</f>
        <v>#REF!</v>
      </c>
      <c r="C14" s="43" t="e">
        <f>Meta!#REF!</f>
        <v>#REF!</v>
      </c>
      <c r="D14" s="43" t="e">
        <f>Meta!#REF!</f>
        <v>#REF!</v>
      </c>
      <c r="E14" s="43" t="e">
        <f>Meta!#REF!</f>
        <v>#REF!</v>
      </c>
      <c r="F14" s="43" t="e">
        <f>Meta!#REF!</f>
        <v>#REF!</v>
      </c>
    </row>
    <row r="15" spans="1:6">
      <c r="A15" s="10" t="s">
        <v>78</v>
      </c>
      <c r="B15" s="43" t="e">
        <f>Alphabet!#REF!</f>
        <v>#REF!</v>
      </c>
      <c r="C15" s="43" t="e">
        <f>Alphabet!#REF!</f>
        <v>#REF!</v>
      </c>
      <c r="D15" s="43" t="e">
        <f>Alphabet!#REF!</f>
        <v>#REF!</v>
      </c>
      <c r="E15" s="43" t="e">
        <f>Alphabet!#REF!</f>
        <v>#REF!</v>
      </c>
      <c r="F15" s="43" t="e">
        <f>Alphabet!#REF!</f>
        <v>#REF!</v>
      </c>
    </row>
    <row r="16" spans="1:6">
      <c r="A16" s="10" t="s">
        <v>79</v>
      </c>
      <c r="B16" s="43" t="e">
        <f>Microsoft!#REF!</f>
        <v>#REF!</v>
      </c>
      <c r="C16" s="43" t="e">
        <f>Microsoft!#REF!</f>
        <v>#REF!</v>
      </c>
      <c r="D16" s="43" t="e">
        <f>Microsoft!#REF!</f>
        <v>#REF!</v>
      </c>
      <c r="E16" s="43" t="e">
        <f>Microsoft!#REF!</f>
        <v>#REF!</v>
      </c>
      <c r="F16" s="43" t="e">
        <f>Microsoft!#REF!</f>
        <v>#REF!</v>
      </c>
    </row>
  </sheetData>
  <pageMargins left="0.7" right="0.7" top="0.78749999999999998" bottom="0.78749999999999998" header="0.51180555555555496" footer="0.51180555555555496"/>
  <pageSetup paperSize="9" firstPageNumber="0" orientation="portrait" horizontalDpi="300" verticalDpi="300"/>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
  <sheetViews>
    <sheetView zoomScaleNormal="100" workbookViewId="0">
      <selection activeCell="A2" sqref="A2"/>
    </sheetView>
  </sheetViews>
  <sheetFormatPr baseColWidth="10" defaultColWidth="10.5546875" defaultRowHeight="14.4"/>
  <sheetData>
    <row r="1" spans="1:6">
      <c r="A1" s="59" t="s">
        <v>37</v>
      </c>
      <c r="B1" s="37" t="s">
        <v>0</v>
      </c>
      <c r="C1" s="37" t="s">
        <v>1</v>
      </c>
      <c r="D1" s="37" t="s">
        <v>2</v>
      </c>
      <c r="E1" s="37" t="s">
        <v>3</v>
      </c>
      <c r="F1" s="60" t="s">
        <v>4</v>
      </c>
    </row>
    <row r="2" spans="1:6">
      <c r="A2" s="33" t="s">
        <v>76</v>
      </c>
      <c r="B2" s="61" t="e">
        <f>Apple!#REF!</f>
        <v>#REF!</v>
      </c>
      <c r="C2" s="61" t="e">
        <f>Apple!#REF!</f>
        <v>#REF!</v>
      </c>
      <c r="D2" s="61" t="e">
        <f>Apple!#REF!</f>
        <v>#REF!</v>
      </c>
      <c r="E2" s="61" t="e">
        <f>Apple!#REF!</f>
        <v>#REF!</v>
      </c>
      <c r="F2" s="61" t="e">
        <f>Apple!#REF!</f>
        <v>#REF!</v>
      </c>
    </row>
    <row r="3" spans="1:6">
      <c r="A3" s="62" t="s">
        <v>77</v>
      </c>
      <c r="B3" s="63" t="e">
        <f>Meta!#REF!</f>
        <v>#REF!</v>
      </c>
      <c r="C3" s="63" t="e">
        <f>Meta!#REF!</f>
        <v>#REF!</v>
      </c>
      <c r="D3" s="63" t="e">
        <f>Meta!#REF!</f>
        <v>#REF!</v>
      </c>
      <c r="E3" s="63" t="e">
        <f>Meta!#REF!</f>
        <v>#REF!</v>
      </c>
      <c r="F3" s="63" t="e">
        <f>Meta!#REF!</f>
        <v>#REF!</v>
      </c>
    </row>
    <row r="4" spans="1:6">
      <c r="A4" s="33" t="s">
        <v>78</v>
      </c>
      <c r="B4" s="61" t="e">
        <f>Alphabet!#REF!</f>
        <v>#REF!</v>
      </c>
      <c r="C4" s="61" t="e">
        <f>Alphabet!#REF!</f>
        <v>#REF!</v>
      </c>
      <c r="D4" s="61" t="e">
        <f>Alphabet!#REF!</f>
        <v>#REF!</v>
      </c>
      <c r="E4" s="61" t="e">
        <f>Alphabet!#REF!</f>
        <v>#REF!</v>
      </c>
      <c r="F4" s="61" t="e">
        <f>Alphabet!#REF!</f>
        <v>#REF!</v>
      </c>
    </row>
    <row r="5" spans="1:6">
      <c r="A5" s="62" t="s">
        <v>79</v>
      </c>
      <c r="B5" s="63" t="e">
        <f>Microsoft!#REF!</f>
        <v>#REF!</v>
      </c>
      <c r="C5" s="63" t="e">
        <f>Microsoft!#REF!</f>
        <v>#REF!</v>
      </c>
      <c r="D5" s="63" t="e">
        <f>Microsoft!#REF!</f>
        <v>#REF!</v>
      </c>
      <c r="E5" s="63" t="e">
        <f>Microsoft!#REF!</f>
        <v>#REF!</v>
      </c>
      <c r="F5" s="63" t="e">
        <f>Microsoft!#REF!</f>
        <v>#REF!</v>
      </c>
    </row>
    <row r="6" spans="1:6">
      <c r="A6" s="10" t="s">
        <v>241</v>
      </c>
      <c r="B6" s="58" t="e">
        <f>AVERAGE(B2:B5)</f>
        <v>#REF!</v>
      </c>
      <c r="C6" s="58" t="e">
        <f>AVERAGE(C2:C5)</f>
        <v>#REF!</v>
      </c>
      <c r="D6" s="58" t="e">
        <f>AVERAGE(D2:D5)</f>
        <v>#REF!</v>
      </c>
      <c r="E6" s="58" t="e">
        <f>AVERAGE(E2:E5)</f>
        <v>#REF!</v>
      </c>
      <c r="F6" s="58" t="e">
        <f>AVERAGE(F2:F5)</f>
        <v>#REF!</v>
      </c>
    </row>
  </sheetData>
  <pageMargins left="0.7" right="0.7" top="0.78749999999999998" bottom="0.78749999999999998" header="0.51180555555555496" footer="0.51180555555555496"/>
  <pageSetup paperSize="9" firstPageNumber="0"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zoomScaleNormal="100" workbookViewId="0">
      <selection activeCell="F2" sqref="F2"/>
    </sheetView>
  </sheetViews>
  <sheetFormatPr baseColWidth="10" defaultColWidth="10.5546875" defaultRowHeight="14.4"/>
  <sheetData>
    <row r="1" spans="1:8">
      <c r="B1" s="10" t="s">
        <v>121</v>
      </c>
      <c r="D1" s="10" t="s">
        <v>242</v>
      </c>
      <c r="F1" s="10" t="s">
        <v>243</v>
      </c>
    </row>
    <row r="2" spans="1:8">
      <c r="B2" s="10" t="s">
        <v>244</v>
      </c>
      <c r="C2" s="10" t="s">
        <v>16</v>
      </c>
      <c r="D2" s="10" t="s">
        <v>244</v>
      </c>
      <c r="E2" s="10" t="s">
        <v>16</v>
      </c>
      <c r="F2" s="10" t="s">
        <v>244</v>
      </c>
      <c r="G2" s="10" t="s">
        <v>16</v>
      </c>
    </row>
    <row r="3" spans="1:8">
      <c r="A3" s="33" t="s">
        <v>76</v>
      </c>
      <c r="B3" s="36" t="e">
        <f>1-Apple!#REF!</f>
        <v>#REF!</v>
      </c>
      <c r="C3" s="36" t="e">
        <f>Apple!#REF!</f>
        <v>#REF!</v>
      </c>
      <c r="D3" s="36" t="e">
        <f>Apple!F20/Apple!#REF!</f>
        <v>#REF!</v>
      </c>
      <c r="E3" s="36" t="e">
        <f>Apple!#REF!/Apple!#REF!</f>
        <v>#REF!</v>
      </c>
      <c r="F3" s="36" t="e">
        <f>Apple!E28/Apple!#REF!</f>
        <v>#REF!</v>
      </c>
      <c r="G3" s="36">
        <f>Apple!E29/Apple!E28</f>
        <v>0.32700220126863933</v>
      </c>
      <c r="H3" s="10" t="s">
        <v>245</v>
      </c>
    </row>
    <row r="4" spans="1:8">
      <c r="A4" s="62" t="s">
        <v>77</v>
      </c>
      <c r="B4" s="36" t="e">
        <f>1-Meta!#REF!</f>
        <v>#REF!</v>
      </c>
      <c r="C4" s="36" t="e">
        <f>Meta!#REF!</f>
        <v>#REF!</v>
      </c>
      <c r="D4" s="36"/>
      <c r="E4" s="36"/>
      <c r="F4" s="36" t="e">
        <f>Meta!E28/Meta!#REF!</f>
        <v>#REF!</v>
      </c>
      <c r="G4" s="36">
        <f>Meta!E29/Meta!E28</f>
        <v>0.32871401821478519</v>
      </c>
    </row>
    <row r="5" spans="1:8">
      <c r="A5" s="33" t="s">
        <v>78</v>
      </c>
      <c r="B5" s="36" t="e">
        <f>Alphabet!#REF!</f>
        <v>#REF!</v>
      </c>
      <c r="C5" s="36" t="e">
        <f>Alphabet!#REF!</f>
        <v>#REF!</v>
      </c>
      <c r="D5" s="36" t="e">
        <f>Alphabet!E20/Alphabet!#REF!</f>
        <v>#REF!</v>
      </c>
      <c r="E5" s="36"/>
      <c r="F5" s="36">
        <v>3.96165362675079E-3</v>
      </c>
      <c r="G5" s="36">
        <v>0.33212848660103</v>
      </c>
    </row>
    <row r="6" spans="1:8">
      <c r="A6" s="62" t="s">
        <v>79</v>
      </c>
      <c r="B6" s="36" t="e">
        <f>1-Microsoft!#REF!</f>
        <v>#REF!</v>
      </c>
      <c r="C6" s="36" t="e">
        <f>Microsoft!#REF!</f>
        <v>#REF!</v>
      </c>
      <c r="D6" s="36"/>
      <c r="E6" s="36"/>
      <c r="F6" s="36" t="e">
        <f>Microsoft!D28/Microsoft!#REF!</f>
        <v>#REF!</v>
      </c>
      <c r="G6" s="36">
        <f>Microsoft!D29/Microsoft!D28</f>
        <v>0.27547103769511333</v>
      </c>
    </row>
    <row r="7" spans="1:8">
      <c r="A7" s="10" t="s">
        <v>241</v>
      </c>
      <c r="F7" s="12" t="e">
        <f>AVERAGE(F3:F6)</f>
        <v>#REF!</v>
      </c>
    </row>
  </sheetData>
  <pageMargins left="0.7" right="0.7" top="0.78749999999999998" bottom="0.78749999999999998" header="0.51180555555555496" footer="0.51180555555555496"/>
  <pageSetup paperSize="9" firstPageNumber="0"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D21" sqref="D21"/>
    </sheetView>
  </sheetViews>
  <sheetFormatPr baseColWidth="10" defaultColWidth="10.5546875" defaultRowHeight="14.4"/>
  <sheetData/>
  <pageMargins left="0.7" right="0.7" top="0.78749999999999998" bottom="0.78749999999999998" header="0.51180555555555496" footer="0.51180555555555496"/>
  <pageSetup paperSize="9" firstPageNumber="0"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zoomScaleNormal="100" workbookViewId="0"/>
  </sheetViews>
  <sheetFormatPr baseColWidth="10" defaultColWidth="10.5546875" defaultRowHeight="14.4"/>
  <sheetData>
    <row r="1" spans="1:7">
      <c r="A1" t="s">
        <v>249</v>
      </c>
    </row>
    <row r="2" spans="1:7">
      <c r="B2" t="s">
        <v>250</v>
      </c>
      <c r="C2" s="78"/>
      <c r="D2" s="78"/>
      <c r="E2" s="78"/>
      <c r="F2" s="78"/>
      <c r="G2" s="79"/>
    </row>
    <row r="3" spans="1:7">
      <c r="A3" t="s">
        <v>0</v>
      </c>
      <c r="B3" t="s">
        <v>251</v>
      </c>
      <c r="C3" s="78"/>
      <c r="D3" s="78"/>
      <c r="E3" s="78"/>
      <c r="F3" s="78"/>
      <c r="G3" s="79"/>
    </row>
    <row r="4" spans="1:7">
      <c r="A4" t="s">
        <v>1</v>
      </c>
      <c r="B4" t="s">
        <v>252</v>
      </c>
      <c r="C4" s="80"/>
      <c r="D4" s="80"/>
      <c r="E4" s="80"/>
      <c r="F4" s="80"/>
      <c r="G4" s="81"/>
    </row>
    <row r="5" spans="1:7">
      <c r="A5" t="s">
        <v>2</v>
      </c>
      <c r="B5" t="s">
        <v>253</v>
      </c>
      <c r="C5" s="80"/>
      <c r="D5" s="80"/>
      <c r="E5" s="80"/>
      <c r="F5" s="80"/>
      <c r="G5" s="82"/>
    </row>
    <row r="6" spans="1:7">
      <c r="A6" t="s">
        <v>3</v>
      </c>
      <c r="B6" t="s">
        <v>254</v>
      </c>
      <c r="C6" s="80"/>
      <c r="D6" s="80"/>
      <c r="E6" s="80"/>
      <c r="F6" s="80"/>
      <c r="G6" s="81"/>
    </row>
    <row r="7" spans="1:7">
      <c r="A7" t="s">
        <v>4</v>
      </c>
      <c r="B7" t="s">
        <v>255</v>
      </c>
      <c r="C7" s="80"/>
      <c r="D7" s="80"/>
      <c r="E7" s="80"/>
      <c r="F7" s="80"/>
      <c r="G7" s="81"/>
    </row>
    <row r="8" spans="1:7">
      <c r="A8" s="80"/>
      <c r="B8" s="80"/>
      <c r="C8" s="80"/>
      <c r="D8" s="80"/>
      <c r="E8" s="80"/>
      <c r="F8" s="80"/>
      <c r="G8" s="82"/>
    </row>
    <row r="9" spans="1:7">
      <c r="A9" s="80"/>
      <c r="B9" s="80"/>
      <c r="C9" s="80"/>
      <c r="D9" s="80"/>
      <c r="E9" s="80"/>
      <c r="F9" s="80"/>
      <c r="G9" s="81"/>
    </row>
    <row r="10" spans="1:7">
      <c r="A10" s="80"/>
      <c r="B10" s="80"/>
      <c r="C10" s="80"/>
      <c r="D10" s="80"/>
      <c r="E10" s="80"/>
      <c r="F10" s="80"/>
      <c r="G10" s="81"/>
    </row>
    <row r="11" spans="1:7">
      <c r="A11" s="80"/>
      <c r="B11" s="80"/>
      <c r="C11" s="80"/>
      <c r="D11" s="80"/>
      <c r="E11" s="80"/>
      <c r="F11" s="80"/>
      <c r="G11" s="81"/>
    </row>
    <row r="12" spans="1:7">
      <c r="A12" s="80"/>
      <c r="B12" s="80"/>
      <c r="C12" s="80"/>
      <c r="D12" s="80"/>
      <c r="E12" s="80"/>
      <c r="F12" s="80"/>
      <c r="G12" s="82"/>
    </row>
  </sheetData>
  <pageMargins left="0.7" right="0.7" top="0.78749999999999998" bottom="0.78749999999999998" header="0.51180555555555496" footer="0.51180555555555496"/>
  <pageSetup paperSize="9" firstPageNumber="0"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heetViews>
  <sheetFormatPr baseColWidth="10" defaultColWidth="10.5546875" defaultRowHeight="14.4"/>
  <sheetData/>
  <pageMargins left="0.7" right="0.7" top="0.78749999999999998" bottom="0.78749999999999998" header="0.51180555555555496" footer="0.51180555555555496"/>
  <pageSetup paperSize="9" firstPageNumber="0"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heetViews>
  <sheetFormatPr baseColWidth="10" defaultColWidth="10.5546875" defaultRowHeight="14.4"/>
  <sheetData/>
  <pageMargins left="0.7" right="0.7" top="0.78749999999999998" bottom="0.78749999999999998" header="0.51180555555555496" footer="0.51180555555555496"/>
  <pageSetup paperSize="9" firstPageNumber="0"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6"/>
  <sheetViews>
    <sheetView zoomScaleNormal="100" workbookViewId="0">
      <selection sqref="A1:XFD1"/>
    </sheetView>
  </sheetViews>
  <sheetFormatPr baseColWidth="10" defaultColWidth="8.6640625" defaultRowHeight="14.4"/>
  <cols>
    <col min="1" max="1" width="34" customWidth="1"/>
    <col min="2" max="2" width="20.5546875" customWidth="1"/>
    <col min="3" max="6" width="20.44140625" customWidth="1"/>
    <col min="7" max="7" width="12" bestFit="1" customWidth="1"/>
    <col min="9" max="9" width="25.44140625" customWidth="1"/>
    <col min="10" max="10" width="13.6640625" customWidth="1"/>
    <col min="11" max="12" width="13.21875" customWidth="1"/>
    <col min="13" max="13" width="15.109375" customWidth="1"/>
    <col min="14" max="14" width="14" customWidth="1"/>
  </cols>
  <sheetData>
    <row r="1" spans="1:15" ht="15" customHeight="1">
      <c r="A1" s="2" t="s">
        <v>24</v>
      </c>
      <c r="B1" s="2" t="s">
        <v>0</v>
      </c>
      <c r="C1" s="2" t="s">
        <v>1</v>
      </c>
      <c r="D1" s="2" t="s">
        <v>2</v>
      </c>
      <c r="E1" s="2" t="s">
        <v>3</v>
      </c>
      <c r="F1" s="2" t="s">
        <v>4</v>
      </c>
      <c r="G1" s="2">
        <v>2021</v>
      </c>
      <c r="H1" s="2" t="s">
        <v>280</v>
      </c>
      <c r="J1" s="113"/>
      <c r="K1" s="2"/>
      <c r="L1" s="2"/>
      <c r="M1" s="2"/>
      <c r="N1" s="2"/>
      <c r="O1" s="2"/>
    </row>
    <row r="2" spans="1:15" ht="15" customHeight="1">
      <c r="A2" s="3" t="s">
        <v>5</v>
      </c>
      <c r="B2" s="4">
        <v>215639</v>
      </c>
      <c r="C2" s="4">
        <v>229234</v>
      </c>
      <c r="D2" s="4">
        <v>265595</v>
      </c>
      <c r="E2" s="4">
        <v>260174</v>
      </c>
      <c r="F2" s="4">
        <v>274515</v>
      </c>
      <c r="G2" s="4">
        <v>365817</v>
      </c>
      <c r="H2" s="4">
        <v>1</v>
      </c>
    </row>
    <row r="3" spans="1:15" ht="15" customHeight="1">
      <c r="A3" s="8" t="s">
        <v>10</v>
      </c>
      <c r="B3" s="4">
        <v>61372</v>
      </c>
      <c r="C3" s="4">
        <v>64089</v>
      </c>
      <c r="D3" s="4">
        <v>72903</v>
      </c>
      <c r="E3" s="4">
        <v>65737</v>
      </c>
      <c r="F3" s="4">
        <v>67091</v>
      </c>
      <c r="G3" s="4">
        <v>109207</v>
      </c>
      <c r="H3" s="4">
        <v>1</v>
      </c>
    </row>
    <row r="4" spans="1:15" ht="15" customHeight="1">
      <c r="A4" s="8" t="s">
        <v>11</v>
      </c>
      <c r="B4" s="21">
        <v>20272</v>
      </c>
      <c r="C4" s="21">
        <v>19389</v>
      </c>
      <c r="D4" s="21">
        <v>24903</v>
      </c>
      <c r="E4" s="21">
        <v>21437</v>
      </c>
      <c r="F4" s="21">
        <v>28991</v>
      </c>
      <c r="G4" s="4">
        <f>G3-G5</f>
        <v>40507</v>
      </c>
      <c r="H4" s="106" t="s">
        <v>285</v>
      </c>
    </row>
    <row r="5" spans="1:15" ht="25.2" customHeight="1">
      <c r="A5" s="8" t="s">
        <v>12</v>
      </c>
      <c r="B5" s="21">
        <v>41100</v>
      </c>
      <c r="C5" s="21">
        <v>44700</v>
      </c>
      <c r="D5" s="21">
        <v>48000</v>
      </c>
      <c r="E5" s="21">
        <v>44300</v>
      </c>
      <c r="F5" s="21">
        <v>38100</v>
      </c>
      <c r="G5" s="21">
        <v>68700</v>
      </c>
      <c r="H5" s="106" t="s">
        <v>283</v>
      </c>
    </row>
    <row r="6" spans="1:15" ht="15" customHeight="1">
      <c r="A6" s="8" t="s">
        <v>13</v>
      </c>
      <c r="B6" s="21">
        <v>15685</v>
      </c>
      <c r="C6" s="21">
        <v>15738</v>
      </c>
      <c r="D6" s="21">
        <v>13372</v>
      </c>
      <c r="E6" s="21">
        <v>10481</v>
      </c>
      <c r="F6" s="21">
        <v>9680</v>
      </c>
      <c r="G6" s="21">
        <v>14527</v>
      </c>
      <c r="H6" s="21">
        <v>1</v>
      </c>
      <c r="I6" s="10"/>
      <c r="J6" s="11"/>
    </row>
    <row r="7" spans="1:15" ht="15" customHeight="1">
      <c r="A7" s="8" t="s">
        <v>11</v>
      </c>
      <c r="B7" s="21">
        <v>13547</v>
      </c>
      <c r="C7" s="21">
        <v>14083</v>
      </c>
      <c r="D7" s="21">
        <v>8205</v>
      </c>
      <c r="E7" s="21">
        <v>3853</v>
      </c>
      <c r="F7" s="21">
        <v>3163</v>
      </c>
      <c r="G7" s="4">
        <f>G6-G10</f>
        <v>2363</v>
      </c>
      <c r="H7" s="106" t="s">
        <v>283</v>
      </c>
    </row>
    <row r="8" spans="1:15" ht="15" customHeight="1">
      <c r="A8" s="8" t="s">
        <v>14</v>
      </c>
      <c r="B8" s="21">
        <v>8642</v>
      </c>
      <c r="C8" s="21">
        <v>8101</v>
      </c>
      <c r="D8" s="21">
        <v>41976</v>
      </c>
      <c r="E8" s="21">
        <v>6859</v>
      </c>
      <c r="F8" s="21">
        <v>6761</v>
      </c>
      <c r="G8" s="4">
        <f>8257+1620</f>
        <v>9877</v>
      </c>
      <c r="H8" s="106" t="s">
        <v>283</v>
      </c>
    </row>
    <row r="9" spans="1:15" ht="15" customHeight="1">
      <c r="A9" s="8" t="s">
        <v>15</v>
      </c>
      <c r="B9" s="21">
        <v>4905</v>
      </c>
      <c r="C9" s="21">
        <v>5982</v>
      </c>
      <c r="D9" s="21">
        <v>-33771</v>
      </c>
      <c r="E9" s="21">
        <v>-3006</v>
      </c>
      <c r="F9" s="21">
        <v>-3598</v>
      </c>
      <c r="G9" s="4">
        <f>-7176-338</f>
        <v>-7514</v>
      </c>
      <c r="H9" s="106" t="s">
        <v>283</v>
      </c>
    </row>
    <row r="10" spans="1:15" ht="15" customHeight="1">
      <c r="A10" s="8" t="s">
        <v>12</v>
      </c>
      <c r="B10" s="21">
        <v>2138</v>
      </c>
      <c r="C10" s="21">
        <v>1655</v>
      </c>
      <c r="D10" s="21">
        <v>5167</v>
      </c>
      <c r="E10" s="21">
        <v>6628</v>
      </c>
      <c r="F10" s="21">
        <v>6517</v>
      </c>
      <c r="G10" s="21">
        <v>12164</v>
      </c>
      <c r="H10" s="106" t="s">
        <v>283</v>
      </c>
    </row>
    <row r="11" spans="1:15" ht="15" customHeight="1">
      <c r="A11" s="8" t="s">
        <v>14</v>
      </c>
      <c r="B11" s="21">
        <v>2105</v>
      </c>
      <c r="C11" s="21">
        <v>1671</v>
      </c>
      <c r="D11" s="21">
        <v>3986</v>
      </c>
      <c r="E11" s="21">
        <v>3962</v>
      </c>
      <c r="F11" s="21">
        <v>3134</v>
      </c>
      <c r="G11" s="21">
        <v>9424</v>
      </c>
      <c r="H11" s="106" t="s">
        <v>283</v>
      </c>
    </row>
    <row r="12" spans="1:15" ht="15" customHeight="1">
      <c r="A12" s="8" t="s">
        <v>15</v>
      </c>
      <c r="B12" s="21">
        <v>33</v>
      </c>
      <c r="C12" s="21">
        <v>-16</v>
      </c>
      <c r="D12" s="21">
        <v>1181</v>
      </c>
      <c r="E12" s="21">
        <v>2666</v>
      </c>
      <c r="F12" s="21">
        <v>3383</v>
      </c>
      <c r="G12" s="21">
        <v>2740</v>
      </c>
      <c r="H12" s="106" t="s">
        <v>283</v>
      </c>
    </row>
    <row r="13" spans="1:15" ht="15" customHeight="1">
      <c r="A13" s="8" t="s">
        <v>281</v>
      </c>
      <c r="E13" s="21">
        <v>15263</v>
      </c>
      <c r="F13">
        <v>9501</v>
      </c>
      <c r="G13">
        <v>25385</v>
      </c>
      <c r="H13">
        <v>2</v>
      </c>
    </row>
    <row r="14" spans="1:15" ht="15" customHeight="1">
      <c r="A14" s="10" t="s">
        <v>32</v>
      </c>
      <c r="B14" s="5">
        <v>116000</v>
      </c>
      <c r="C14" s="5">
        <v>123000</v>
      </c>
      <c r="D14" s="5">
        <v>132000</v>
      </c>
      <c r="E14" s="5">
        <v>137000</v>
      </c>
      <c r="F14" s="5">
        <v>147000</v>
      </c>
      <c r="G14" s="5">
        <v>145000</v>
      </c>
      <c r="H14" s="106" t="s">
        <v>282</v>
      </c>
    </row>
    <row r="15" spans="1:15" ht="15" customHeight="1">
      <c r="A15" s="102" t="s">
        <v>273</v>
      </c>
      <c r="B15" s="4">
        <v>211.88</v>
      </c>
      <c r="C15" s="4">
        <v>216.76</v>
      </c>
      <c r="D15" s="4">
        <v>217.72</v>
      </c>
      <c r="E15" s="4">
        <v>185.6</v>
      </c>
      <c r="F15" s="4">
        <v>189.9</v>
      </c>
      <c r="G15">
        <v>238.3</v>
      </c>
      <c r="H15" t="s">
        <v>274</v>
      </c>
    </row>
    <row r="16" spans="1:15" ht="15" customHeight="1">
      <c r="A16" s="48" t="s">
        <v>272</v>
      </c>
      <c r="B16" s="4"/>
      <c r="C16" s="4"/>
      <c r="D16" s="4"/>
      <c r="E16" s="4"/>
      <c r="F16" s="4"/>
      <c r="G16">
        <f>0.27*20.4</f>
        <v>5.508</v>
      </c>
      <c r="H16" s="106" t="s">
        <v>482</v>
      </c>
      <c r="I16">
        <f>191.973/365.817</f>
        <v>0.52477878283404</v>
      </c>
    </row>
    <row r="17" spans="1:8" ht="15" customHeight="1">
      <c r="A17" s="8" t="s">
        <v>9</v>
      </c>
      <c r="B17" s="9">
        <v>3.4200000000000001E-2</v>
      </c>
      <c r="C17" s="9">
        <v>3.4200000000000001E-2</v>
      </c>
      <c r="D17" s="9">
        <v>3.4200000000000001E-2</v>
      </c>
      <c r="E17" s="9">
        <v>3.4200000000000001E-2</v>
      </c>
      <c r="F17" s="9">
        <v>3.4200000000000001E-2</v>
      </c>
      <c r="G17" s="107">
        <f>G16/G15</f>
        <v>2.3113722198908938E-2</v>
      </c>
      <c r="H17" s="106" t="s">
        <v>285</v>
      </c>
    </row>
    <row r="18" spans="1:8" ht="28.8">
      <c r="A18" s="18" t="s">
        <v>276</v>
      </c>
      <c r="B18" s="2" t="s">
        <v>0</v>
      </c>
      <c r="C18" s="2" t="s">
        <v>1</v>
      </c>
      <c r="D18" s="2" t="s">
        <v>2</v>
      </c>
      <c r="E18" s="2" t="s">
        <v>3</v>
      </c>
      <c r="F18" s="2" t="s">
        <v>4</v>
      </c>
    </row>
    <row r="19" spans="1:8" ht="15" customHeight="1">
      <c r="A19" s="3" t="s">
        <v>5</v>
      </c>
      <c r="B19" s="4"/>
      <c r="C19" s="4"/>
      <c r="D19" s="4"/>
      <c r="E19" s="4">
        <v>140992</v>
      </c>
      <c r="F19" s="4">
        <v>148168</v>
      </c>
      <c r="G19">
        <v>211058</v>
      </c>
    </row>
    <row r="20" spans="1:8" ht="15" customHeight="1">
      <c r="A20" s="3" t="s">
        <v>23</v>
      </c>
      <c r="B20" s="4"/>
      <c r="C20" s="4"/>
      <c r="D20" s="4"/>
      <c r="E20" s="4">
        <v>41686</v>
      </c>
      <c r="F20" s="4">
        <v>33803</v>
      </c>
      <c r="G20">
        <v>67742</v>
      </c>
    </row>
    <row r="21" spans="1:8" ht="15" customHeight="1">
      <c r="A21" s="3" t="s">
        <v>13</v>
      </c>
      <c r="B21" s="19"/>
      <c r="C21" s="19">
        <v>0</v>
      </c>
      <c r="D21" s="19">
        <v>0</v>
      </c>
      <c r="E21" s="4">
        <f>E22+E23</f>
        <v>6191</v>
      </c>
      <c r="F21" s="4">
        <f>F22+F23</f>
        <v>6149</v>
      </c>
      <c r="G21">
        <v>11575</v>
      </c>
    </row>
    <row r="22" spans="1:8">
      <c r="A22" s="3" t="s">
        <v>14</v>
      </c>
      <c r="B22" s="19"/>
      <c r="C22" s="19"/>
      <c r="D22" s="19"/>
      <c r="E22" s="4">
        <v>3648</v>
      </c>
      <c r="F22" s="4">
        <v>2593</v>
      </c>
      <c r="G22">
        <v>8595</v>
      </c>
    </row>
    <row r="23" spans="1:8">
      <c r="A23" s="3" t="s">
        <v>15</v>
      </c>
      <c r="B23" s="19"/>
      <c r="C23" s="19"/>
      <c r="D23" s="19"/>
      <c r="E23" s="4">
        <v>2543</v>
      </c>
      <c r="F23" s="4">
        <v>3556</v>
      </c>
      <c r="G23">
        <v>2980</v>
      </c>
    </row>
    <row r="24" spans="1:8" ht="15" customHeight="1">
      <c r="A24" s="7" t="s">
        <v>21</v>
      </c>
      <c r="B24" s="20"/>
      <c r="C24" s="12"/>
      <c r="D24" s="12"/>
      <c r="E24" s="12">
        <f>E21/E20</f>
        <v>0.14851508899870461</v>
      </c>
      <c r="F24" s="12">
        <f>F21/F20</f>
        <v>0.18190693133745525</v>
      </c>
      <c r="G24" s="56">
        <f>G21/G20</f>
        <v>0.17086888488677629</v>
      </c>
    </row>
    <row r="25" spans="1:8">
      <c r="A25" t="s">
        <v>22</v>
      </c>
      <c r="C25">
        <v>0</v>
      </c>
      <c r="D25">
        <v>0</v>
      </c>
      <c r="E25" s="21">
        <v>47337</v>
      </c>
      <c r="F25" s="4">
        <v>51255</v>
      </c>
      <c r="G25">
        <v>52563</v>
      </c>
    </row>
    <row r="26" spans="1:8" ht="15" customHeight="1">
      <c r="A26" s="2" t="s">
        <v>18</v>
      </c>
      <c r="B26" s="2" t="s">
        <v>0</v>
      </c>
      <c r="C26" s="2" t="s">
        <v>1</v>
      </c>
      <c r="D26" s="2" t="s">
        <v>2</v>
      </c>
      <c r="E26" s="2" t="s">
        <v>3</v>
      </c>
      <c r="F26" s="2" t="s">
        <v>4</v>
      </c>
      <c r="H26" s="106" t="s">
        <v>288</v>
      </c>
    </row>
    <row r="27" spans="1:8">
      <c r="A27" s="3" t="s">
        <v>5</v>
      </c>
      <c r="B27" s="14">
        <v>161179437.77000001</v>
      </c>
      <c r="C27" s="14">
        <v>185811490.78</v>
      </c>
      <c r="D27" s="14">
        <v>247797881.41</v>
      </c>
      <c r="E27" s="15">
        <v>235723739.56</v>
      </c>
      <c r="F27" s="108">
        <v>283710327.92000002</v>
      </c>
      <c r="G27" s="112">
        <f>F27*G19/F19/1000000</f>
        <v>404.13135353206741</v>
      </c>
      <c r="H27" t="s">
        <v>287</v>
      </c>
    </row>
    <row r="28" spans="1:8" ht="15" customHeight="1">
      <c r="A28" s="7" t="s">
        <v>19</v>
      </c>
      <c r="B28" s="14">
        <v>66415387.700000003</v>
      </c>
      <c r="C28" s="5">
        <v>70286051.989999995</v>
      </c>
      <c r="D28" s="5">
        <v>134668246.75</v>
      </c>
      <c r="E28" s="16">
        <v>200921501.40000001</v>
      </c>
      <c r="F28" s="109">
        <f>171837274.26+F29</f>
        <v>254720969.25999999</v>
      </c>
      <c r="G28" s="112">
        <f>F28*G19/F19/1000000</f>
        <v>362.83744351058982</v>
      </c>
    </row>
    <row r="29" spans="1:8" ht="15" customHeight="1">
      <c r="A29" s="8" t="s">
        <v>20</v>
      </c>
      <c r="B29" s="14">
        <v>21054960.280000001</v>
      </c>
      <c r="C29" s="14">
        <v>22693401.460000001</v>
      </c>
      <c r="D29" s="14">
        <v>238265280.36000001</v>
      </c>
      <c r="E29" s="16">
        <v>65701773.240000002</v>
      </c>
      <c r="F29" s="109">
        <v>82883695</v>
      </c>
      <c r="G29" s="112">
        <f>F29*G19/F19/1000000</f>
        <v>118.06373103038442</v>
      </c>
    </row>
    <row r="30" spans="1:8" ht="15" customHeight="1">
      <c r="A30" s="7" t="s">
        <v>21</v>
      </c>
      <c r="B30" s="12">
        <f>B29/B28</f>
        <v>0.31701930846366194</v>
      </c>
      <c r="C30" s="12">
        <f>C29/C28</f>
        <v>0.32287204669325748</v>
      </c>
      <c r="D30" s="12">
        <f>D29/D28</f>
        <v>1.7692758769060013</v>
      </c>
      <c r="E30" s="12">
        <f>E29/E28</f>
        <v>0.32700220126863933</v>
      </c>
      <c r="F30" s="110"/>
      <c r="G30" s="112">
        <f t="shared" ref="G30" si="0">F30*G22/F22</f>
        <v>0</v>
      </c>
    </row>
    <row r="31" spans="1:8" ht="15" customHeight="1">
      <c r="A31" s="3" t="s">
        <v>22</v>
      </c>
      <c r="B31" s="5">
        <v>349</v>
      </c>
      <c r="C31" s="5">
        <v>429</v>
      </c>
      <c r="D31" s="5">
        <v>447</v>
      </c>
      <c r="E31" s="5">
        <v>241</v>
      </c>
      <c r="F31" s="111">
        <v>255</v>
      </c>
      <c r="G31" s="112">
        <f>F31*G25/F25</f>
        <v>261.50746268656718</v>
      </c>
    </row>
    <row r="32" spans="1:8" ht="15" customHeight="1"/>
    <row r="33" spans="1:8" ht="15" customHeight="1">
      <c r="A33" s="7" t="s">
        <v>289</v>
      </c>
    </row>
    <row r="34" spans="1:8" ht="15" customHeight="1">
      <c r="A34" s="7" t="s">
        <v>290</v>
      </c>
      <c r="F34">
        <v>2385</v>
      </c>
      <c r="G34">
        <v>4444</v>
      </c>
    </row>
    <row r="35" spans="1:8" ht="33.15" customHeight="1">
      <c r="A35" s="7"/>
    </row>
    <row r="36" spans="1:8" ht="30.6" customHeight="1"/>
    <row r="37" spans="1:8" ht="15" customHeight="1">
      <c r="A37" s="8" t="s">
        <v>306</v>
      </c>
      <c r="B37" s="9"/>
      <c r="C37" s="9"/>
      <c r="D37" s="9"/>
      <c r="E37" s="9"/>
      <c r="F37" s="9"/>
      <c r="G37" s="107">
        <f>G31/G14</f>
        <v>1.8034997426659807E-3</v>
      </c>
      <c r="H37" s="106"/>
    </row>
    <row r="38" spans="1:8" ht="15" customHeight="1">
      <c r="A38" s="8" t="s">
        <v>307</v>
      </c>
      <c r="B38" s="9"/>
      <c r="C38" s="9"/>
      <c r="D38" s="9"/>
      <c r="E38" s="9"/>
      <c r="F38" s="9"/>
      <c r="G38" s="107">
        <f>0.5*G17+0.5*G37</f>
        <v>1.2458610970787459E-2</v>
      </c>
      <c r="H38" s="106"/>
    </row>
    <row r="39" spans="1:8" ht="23.7" customHeight="1"/>
    <row r="40" spans="1:8" ht="15" customHeight="1"/>
    <row r="41" spans="1:8" ht="15" customHeight="1"/>
    <row r="42" spans="1:8" ht="15" customHeight="1"/>
    <row r="43" spans="1:8" ht="15" customHeight="1"/>
    <row r="44" spans="1:8" ht="15" customHeight="1"/>
    <row r="45" spans="1:8" ht="15" customHeight="1"/>
    <row r="46" spans="1:8" ht="15" customHeight="1"/>
    <row r="47" spans="1:8" ht="15" customHeight="1"/>
    <row r="48" spans="1: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sheetData>
  <pageMargins left="0.78749999999999998" right="0.78749999999999998" top="1.05277777777778" bottom="1.05277777777778" header="0.78749999999999998" footer="0.78749999999999998"/>
  <pageSetup paperSize="9" firstPageNumber="0" orientation="portrait" horizontalDpi="300" verticalDpi="300"/>
  <headerFooter>
    <oddHeader>&amp;C&amp;"Times New Roman,Standard"&amp;12&amp;A</oddHeader>
    <oddFooter>&amp;C&amp;"Times New Roman,Standard"&amp;12Seite &amp;P</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72"/>
  <sheetViews>
    <sheetView zoomScaleNormal="100" workbookViewId="0">
      <selection sqref="A1:XFD1"/>
    </sheetView>
  </sheetViews>
  <sheetFormatPr baseColWidth="10" defaultColWidth="8.6640625" defaultRowHeight="14.4"/>
  <cols>
    <col min="1" max="1" width="34" style="113" customWidth="1"/>
    <col min="2" max="6" width="20.44140625" customWidth="1"/>
    <col min="7" max="7" width="11" bestFit="1" customWidth="1"/>
    <col min="9" max="9" width="24.88671875" customWidth="1"/>
    <col min="10" max="10" width="11.21875" style="113" hidden="1" customWidth="1"/>
    <col min="11" max="11" width="12.44140625" hidden="1" customWidth="1"/>
    <col min="12" max="12" width="13.44140625" hidden="1" customWidth="1"/>
    <col min="13" max="13" width="15.88671875" hidden="1" customWidth="1"/>
    <col min="14" max="14" width="17.77734375" hidden="1" customWidth="1"/>
    <col min="15" max="15" width="12.88671875" hidden="1" customWidth="1"/>
    <col min="16" max="16" width="0" hidden="1" customWidth="1"/>
  </cols>
  <sheetData>
    <row r="1" spans="1:16" ht="15" customHeight="1">
      <c r="A1" s="2" t="s">
        <v>24</v>
      </c>
      <c r="B1" s="2" t="s">
        <v>0</v>
      </c>
      <c r="C1" s="2" t="s">
        <v>1</v>
      </c>
      <c r="D1" s="2" t="s">
        <v>2</v>
      </c>
      <c r="E1" s="2" t="s">
        <v>3</v>
      </c>
      <c r="F1" s="2" t="s">
        <v>4</v>
      </c>
      <c r="G1" s="2">
        <v>2021</v>
      </c>
      <c r="H1" s="2" t="s">
        <v>275</v>
      </c>
      <c r="K1" s="2" t="s">
        <v>0</v>
      </c>
      <c r="L1" s="2" t="s">
        <v>1</v>
      </c>
      <c r="M1" s="2" t="s">
        <v>2</v>
      </c>
      <c r="N1" s="2" t="s">
        <v>3</v>
      </c>
      <c r="O1" s="2" t="s">
        <v>4</v>
      </c>
      <c r="P1">
        <v>2021</v>
      </c>
    </row>
    <row r="2" spans="1:16" ht="15" customHeight="1">
      <c r="A2" s="104" t="s">
        <v>5</v>
      </c>
      <c r="B2" s="4">
        <v>27638</v>
      </c>
      <c r="C2" s="4">
        <v>40653</v>
      </c>
      <c r="D2" s="4">
        <v>55838</v>
      </c>
      <c r="E2" s="4">
        <v>70697</v>
      </c>
      <c r="F2" s="4">
        <v>85965</v>
      </c>
      <c r="G2" s="4">
        <v>117929</v>
      </c>
      <c r="H2" s="4">
        <v>1</v>
      </c>
      <c r="J2" s="104" t="s">
        <v>5</v>
      </c>
      <c r="K2" s="4">
        <v>27638</v>
      </c>
      <c r="L2" s="4">
        <v>40653</v>
      </c>
      <c r="M2" s="4">
        <v>55838</v>
      </c>
      <c r="N2" s="4">
        <v>70697</v>
      </c>
      <c r="O2" s="4">
        <v>85965</v>
      </c>
    </row>
    <row r="3" spans="1:16" ht="25.2" customHeight="1">
      <c r="A3" s="114" t="s">
        <v>10</v>
      </c>
      <c r="B3" s="4">
        <v>12518</v>
      </c>
      <c r="C3" s="4">
        <v>20594</v>
      </c>
      <c r="D3" s="4">
        <v>25361</v>
      </c>
      <c r="E3" s="4">
        <v>24812</v>
      </c>
      <c r="F3" s="4">
        <v>33180</v>
      </c>
      <c r="G3" s="4">
        <v>47284</v>
      </c>
      <c r="H3" s="4">
        <v>1</v>
      </c>
      <c r="J3" s="104" t="s">
        <v>28</v>
      </c>
      <c r="K3" s="5"/>
      <c r="L3" s="5"/>
      <c r="M3" s="5"/>
      <c r="N3" s="23">
        <v>44.14</v>
      </c>
      <c r="O3" s="5">
        <f>8357/427</f>
        <v>19.571428571428573</v>
      </c>
    </row>
    <row r="4" spans="1:16" ht="15" customHeight="1">
      <c r="A4" s="114" t="s">
        <v>11</v>
      </c>
      <c r="B4" s="21">
        <v>6368</v>
      </c>
      <c r="C4" s="21">
        <v>7079</v>
      </c>
      <c r="D4" s="21">
        <v>8800</v>
      </c>
      <c r="E4" s="21">
        <v>5317</v>
      </c>
      <c r="F4" s="21">
        <v>24233</v>
      </c>
      <c r="G4" s="21">
        <v>43669</v>
      </c>
      <c r="H4" s="106" t="s">
        <v>308</v>
      </c>
      <c r="J4" s="104" t="s">
        <v>29</v>
      </c>
      <c r="K4" s="5"/>
      <c r="L4" s="5"/>
      <c r="M4" s="5"/>
      <c r="N4" s="23">
        <v>139.35</v>
      </c>
      <c r="O4" s="5">
        <f>15826/262</f>
        <v>60.404580152671755</v>
      </c>
    </row>
    <row r="5" spans="1:16" ht="15" customHeight="1">
      <c r="A5" s="114" t="s">
        <v>12</v>
      </c>
      <c r="B5" s="21">
        <v>6150</v>
      </c>
      <c r="C5" s="21">
        <v>13515</v>
      </c>
      <c r="D5" s="21">
        <v>16561</v>
      </c>
      <c r="E5" s="21">
        <v>19495</v>
      </c>
      <c r="F5" s="21">
        <v>8947</v>
      </c>
      <c r="G5" s="21">
        <v>3615</v>
      </c>
      <c r="H5" s="106" t="s">
        <v>308</v>
      </c>
      <c r="I5" s="10"/>
      <c r="J5" s="104" t="s">
        <v>30</v>
      </c>
      <c r="K5" s="5"/>
      <c r="L5" s="5"/>
      <c r="M5" s="5"/>
      <c r="N5" s="23">
        <f>(N3+N4)/2</f>
        <v>91.745000000000005</v>
      </c>
      <c r="O5" s="5">
        <f>AVERAGE(O3:O4)</f>
        <v>39.988004362050162</v>
      </c>
    </row>
    <row r="6" spans="1:16" ht="15" customHeight="1">
      <c r="A6" s="114" t="s">
        <v>13</v>
      </c>
      <c r="B6" s="21">
        <v>2301</v>
      </c>
      <c r="C6" s="21">
        <v>4660</v>
      </c>
      <c r="D6" s="21">
        <v>3249</v>
      </c>
      <c r="E6" s="21">
        <v>6327</v>
      </c>
      <c r="F6" s="21">
        <v>4034</v>
      </c>
      <c r="G6" s="21">
        <v>7914</v>
      </c>
      <c r="H6" s="21">
        <v>1</v>
      </c>
      <c r="J6" s="104" t="s">
        <v>31</v>
      </c>
      <c r="K6" s="5"/>
      <c r="L6" s="5"/>
      <c r="M6" s="5"/>
      <c r="N6" s="23">
        <v>31575833</v>
      </c>
      <c r="O6" s="5">
        <v>43930000</v>
      </c>
    </row>
    <row r="7" spans="1:16" ht="15" customHeight="1">
      <c r="A7" s="114" t="s">
        <v>11</v>
      </c>
      <c r="B7" s="21">
        <v>2131</v>
      </c>
      <c r="C7" s="21">
        <v>4316</v>
      </c>
      <c r="D7" s="21">
        <v>2273</v>
      </c>
      <c r="E7" s="21">
        <v>4866</v>
      </c>
      <c r="F7" s="21">
        <v>2839</v>
      </c>
      <c r="G7">
        <f>SUM(G8:G9)</f>
        <v>6147</v>
      </c>
      <c r="H7" s="106" t="s">
        <v>308</v>
      </c>
      <c r="J7" s="104" t="s">
        <v>8</v>
      </c>
      <c r="K7" s="5">
        <f>K8*K2</f>
        <v>1132.5120950435271</v>
      </c>
      <c r="L7" s="5">
        <f>L8*L2</f>
        <v>1665.8229321877309</v>
      </c>
      <c r="M7" s="5">
        <f>M8*M2</f>
        <v>2288.0530560474876</v>
      </c>
      <c r="N7" s="23">
        <f>N6*N5</f>
        <v>2896924798.585</v>
      </c>
      <c r="O7" s="5">
        <f>O5*O6</f>
        <v>1756673031.6248636</v>
      </c>
    </row>
    <row r="8" spans="1:16" ht="15" customHeight="1">
      <c r="A8" s="114" t="s">
        <v>14</v>
      </c>
      <c r="B8" s="21">
        <v>2563</v>
      </c>
      <c r="C8" s="21">
        <v>4645</v>
      </c>
      <c r="D8" s="21">
        <v>1923</v>
      </c>
      <c r="E8" s="21">
        <v>4886</v>
      </c>
      <c r="F8" s="21">
        <v>3820</v>
      </c>
      <c r="G8">
        <f>4971+548</f>
        <v>5519</v>
      </c>
      <c r="H8" s="106" t="s">
        <v>308</v>
      </c>
      <c r="J8" s="114" t="s">
        <v>9</v>
      </c>
      <c r="K8" s="207">
        <f>N8</f>
        <v>4.0976629822835481E-2</v>
      </c>
      <c r="L8" s="207">
        <f>N8</f>
        <v>4.0976629822835481E-2</v>
      </c>
      <c r="M8" s="207">
        <f>N8</f>
        <v>4.0976629822835481E-2</v>
      </c>
      <c r="N8" s="207">
        <f>N7/(N2*1000000)</f>
        <v>4.0976629822835481E-2</v>
      </c>
      <c r="O8" s="207">
        <f>N8</f>
        <v>4.0976629822835481E-2</v>
      </c>
    </row>
    <row r="9" spans="1:16" ht="15" customHeight="1">
      <c r="A9" s="114" t="s">
        <v>15</v>
      </c>
      <c r="B9" s="21">
        <v>-432</v>
      </c>
      <c r="C9" s="21">
        <v>-329</v>
      </c>
      <c r="D9" s="21">
        <v>350</v>
      </c>
      <c r="E9" s="21">
        <v>-20</v>
      </c>
      <c r="F9" s="21">
        <v>-981</v>
      </c>
      <c r="G9">
        <f>585+43</f>
        <v>628</v>
      </c>
      <c r="H9" s="106" t="s">
        <v>308</v>
      </c>
      <c r="J9" s="116" t="s">
        <v>310</v>
      </c>
      <c r="N9">
        <v>16826</v>
      </c>
      <c r="O9">
        <v>20349</v>
      </c>
      <c r="P9">
        <v>29057</v>
      </c>
    </row>
    <row r="10" spans="1:16" ht="15" customHeight="1">
      <c r="A10" s="114" t="s">
        <v>12</v>
      </c>
      <c r="B10" s="21">
        <v>170</v>
      </c>
      <c r="C10" s="21">
        <v>344</v>
      </c>
      <c r="D10" s="21">
        <v>976</v>
      </c>
      <c r="E10" s="21">
        <v>1461</v>
      </c>
      <c r="F10" s="21">
        <v>1195</v>
      </c>
      <c r="G10">
        <f>SUM(G11:G12)</f>
        <v>1767</v>
      </c>
      <c r="H10" s="106" t="s">
        <v>308</v>
      </c>
      <c r="J10" s="116" t="s">
        <v>9</v>
      </c>
      <c r="N10">
        <f>N8</f>
        <v>4.0976629822835481E-2</v>
      </c>
      <c r="O10">
        <f>O8</f>
        <v>4.0976629822835481E-2</v>
      </c>
      <c r="P10">
        <f>0.2*P9</f>
        <v>5811.4000000000005</v>
      </c>
    </row>
    <row r="11" spans="1:16" ht="15" customHeight="1">
      <c r="A11" s="114" t="s">
        <v>14</v>
      </c>
      <c r="B11" s="21">
        <v>195</v>
      </c>
      <c r="C11" s="21">
        <v>389</v>
      </c>
      <c r="D11" s="21">
        <v>1031</v>
      </c>
      <c r="E11" s="21">
        <v>1481</v>
      </c>
      <c r="F11" s="21">
        <v>1211</v>
      </c>
      <c r="G11" s="21">
        <v>1786</v>
      </c>
      <c r="H11" s="106" t="s">
        <v>308</v>
      </c>
      <c r="P11">
        <f>P10/G2</f>
        <v>4.927880334777706E-2</v>
      </c>
    </row>
    <row r="12" spans="1:16" ht="15" customHeight="1">
      <c r="A12" s="114" t="s">
        <v>15</v>
      </c>
      <c r="B12" s="21">
        <v>-25</v>
      </c>
      <c r="C12" s="21">
        <v>-45</v>
      </c>
      <c r="D12" s="21">
        <v>-55</v>
      </c>
      <c r="E12" s="21">
        <v>-20</v>
      </c>
      <c r="F12" s="21">
        <v>-16</v>
      </c>
      <c r="G12" s="21">
        <v>-19</v>
      </c>
      <c r="H12" s="106" t="s">
        <v>308</v>
      </c>
    </row>
    <row r="13" spans="1:16" ht="15" customHeight="1">
      <c r="A13" s="114" t="s">
        <v>281</v>
      </c>
      <c r="E13">
        <v>5182</v>
      </c>
      <c r="F13">
        <v>4229</v>
      </c>
      <c r="G13">
        <v>8525</v>
      </c>
      <c r="H13">
        <v>2</v>
      </c>
    </row>
    <row r="14" spans="1:16" ht="15" customHeight="1">
      <c r="A14" s="114" t="s">
        <v>32</v>
      </c>
      <c r="B14" s="5">
        <v>17048</v>
      </c>
      <c r="C14" s="5">
        <v>25105</v>
      </c>
      <c r="D14" s="5">
        <v>35587</v>
      </c>
      <c r="E14" s="5">
        <v>44942</v>
      </c>
      <c r="F14" s="5">
        <v>58604</v>
      </c>
      <c r="G14" s="5">
        <v>71970</v>
      </c>
      <c r="H14" s="106" t="s">
        <v>309</v>
      </c>
    </row>
    <row r="15" spans="1:16" ht="15" customHeight="1">
      <c r="A15" s="114" t="s">
        <v>277</v>
      </c>
      <c r="B15" s="5"/>
      <c r="C15" s="5"/>
      <c r="D15" s="5"/>
      <c r="E15">
        <v>16826</v>
      </c>
      <c r="F15">
        <v>20349</v>
      </c>
      <c r="G15">
        <v>29057</v>
      </c>
      <c r="H15" s="106" t="s">
        <v>483</v>
      </c>
    </row>
    <row r="16" spans="1:16" ht="15" customHeight="1">
      <c r="A16" s="114" t="s">
        <v>278</v>
      </c>
      <c r="B16" s="5"/>
      <c r="C16" s="5"/>
      <c r="D16" s="5"/>
      <c r="E16" s="5"/>
      <c r="F16" s="5"/>
      <c r="G16">
        <f>0.2*G15</f>
        <v>5811.4000000000005</v>
      </c>
      <c r="H16" s="106" t="s">
        <v>285</v>
      </c>
    </row>
    <row r="17" spans="1:8" ht="15" customHeight="1">
      <c r="A17" s="114" t="s">
        <v>9</v>
      </c>
      <c r="B17" s="6">
        <v>4.0976629822835481E-2</v>
      </c>
      <c r="C17" s="6">
        <v>4.0976629822835481E-2</v>
      </c>
      <c r="D17" s="6">
        <v>4.0976629822835481E-2</v>
      </c>
      <c r="E17" s="208">
        <v>4.0976629822835481E-2</v>
      </c>
      <c r="F17" s="208">
        <v>4.0976629822835481E-2</v>
      </c>
      <c r="G17" s="107">
        <f>P11</f>
        <v>4.927880334777706E-2</v>
      </c>
      <c r="H17" s="106" t="s">
        <v>285</v>
      </c>
    </row>
    <row r="18" spans="1:8" ht="15" customHeight="1">
      <c r="A18" s="105" t="s">
        <v>313</v>
      </c>
      <c r="B18" s="24"/>
      <c r="C18" s="24">
        <v>2017</v>
      </c>
      <c r="D18" s="24">
        <v>2018</v>
      </c>
      <c r="E18" s="24">
        <v>2019</v>
      </c>
      <c r="F18" s="24">
        <v>2020</v>
      </c>
      <c r="G18" s="24">
        <v>2021</v>
      </c>
    </row>
    <row r="19" spans="1:8" ht="15" customHeight="1">
      <c r="A19" s="104" t="s">
        <v>5</v>
      </c>
      <c r="B19" s="4"/>
      <c r="C19" s="4">
        <v>19035256</v>
      </c>
      <c r="D19" s="4">
        <v>25491810</v>
      </c>
      <c r="E19" s="28">
        <v>34326146</v>
      </c>
      <c r="F19" s="28">
        <v>40590879</v>
      </c>
      <c r="H19" s="106" t="s">
        <v>314</v>
      </c>
    </row>
    <row r="20" spans="1:8" ht="15" customHeight="1">
      <c r="A20" s="104" t="s">
        <v>23</v>
      </c>
      <c r="B20" s="4"/>
      <c r="C20" s="4">
        <v>251778</v>
      </c>
      <c r="D20" s="4">
        <v>361286</v>
      </c>
      <c r="E20" s="28">
        <v>481880</v>
      </c>
      <c r="F20" s="28">
        <v>889630</v>
      </c>
    </row>
    <row r="21" spans="1:8" ht="15" customHeight="1">
      <c r="A21" s="104" t="s">
        <v>13</v>
      </c>
      <c r="B21" s="19"/>
      <c r="C21" s="19">
        <v>38320</v>
      </c>
      <c r="D21" s="19">
        <v>63209</v>
      </c>
      <c r="E21" s="28">
        <v>173223</v>
      </c>
      <c r="F21" s="28">
        <v>226331</v>
      </c>
    </row>
    <row r="22" spans="1:8" ht="15" customHeight="1">
      <c r="A22" s="104" t="s">
        <v>14</v>
      </c>
    </row>
    <row r="23" spans="1:8" ht="15" customHeight="1">
      <c r="A23" s="104" t="s">
        <v>15</v>
      </c>
    </row>
    <row r="24" spans="1:8" ht="15" customHeight="1">
      <c r="A24" s="104" t="s">
        <v>21</v>
      </c>
      <c r="B24" s="20"/>
      <c r="C24" s="12">
        <f>C21/C20</f>
        <v>0.15219757087593039</v>
      </c>
      <c r="D24" s="12">
        <f>D21/D20</f>
        <v>0.17495557536134806</v>
      </c>
      <c r="E24" s="29"/>
      <c r="F24" s="30"/>
    </row>
    <row r="25" spans="1:8" ht="15" customHeight="1">
      <c r="A25" s="113" t="s">
        <v>22</v>
      </c>
      <c r="C25" s="4">
        <v>1008</v>
      </c>
      <c r="D25" s="4">
        <v>1330</v>
      </c>
      <c r="E25" s="29"/>
      <c r="F25" s="28"/>
    </row>
    <row r="26" spans="1:8" ht="27.75" customHeight="1">
      <c r="A26" s="105" t="s">
        <v>18</v>
      </c>
      <c r="B26" s="24"/>
      <c r="C26" s="24"/>
      <c r="D26" s="24">
        <v>2018</v>
      </c>
      <c r="E26" s="24">
        <v>2019</v>
      </c>
      <c r="F26" s="24">
        <v>2020</v>
      </c>
      <c r="H26" s="106"/>
    </row>
    <row r="27" spans="1:8" ht="15" customHeight="1">
      <c r="A27" s="104" t="s">
        <v>5</v>
      </c>
      <c r="B27" s="14">
        <v>26202240.379999999</v>
      </c>
      <c r="C27" s="14">
        <v>35662916.289999999</v>
      </c>
      <c r="D27" s="14">
        <v>433948497.81</v>
      </c>
      <c r="E27" s="25">
        <v>976334111.60000002</v>
      </c>
      <c r="F27" s="26">
        <v>1087904984.6700001</v>
      </c>
      <c r="G27" s="117">
        <f>F27*$G$2/$F$2/1000000</f>
        <v>1492.4160639463553</v>
      </c>
      <c r="H27" t="s">
        <v>312</v>
      </c>
    </row>
    <row r="28" spans="1:8" ht="27.75" customHeight="1">
      <c r="A28" s="104" t="s">
        <v>19</v>
      </c>
      <c r="B28" s="14">
        <v>2147321.5</v>
      </c>
      <c r="C28" s="5">
        <v>2459932.5499999998</v>
      </c>
      <c r="D28" s="5">
        <v>13982983.77</v>
      </c>
      <c r="E28" s="14">
        <v>28044618.449999999</v>
      </c>
      <c r="F28" s="16">
        <v>31287360.879999999</v>
      </c>
      <c r="G28" s="117">
        <f t="shared" ref="G28:G29" si="0">F28*$G$2/$F$2/1000000</f>
        <v>42.920807086808814</v>
      </c>
    </row>
    <row r="29" spans="1:8" ht="15" customHeight="1">
      <c r="A29" s="114" t="s">
        <v>13</v>
      </c>
      <c r="B29" s="14">
        <v>682847.19</v>
      </c>
      <c r="C29" s="14">
        <v>1001266.63</v>
      </c>
      <c r="D29" s="14">
        <v>5140002.63</v>
      </c>
      <c r="E29" s="14">
        <v>9218659.2200000007</v>
      </c>
      <c r="F29" s="16">
        <v>10256148.449999999</v>
      </c>
      <c r="G29" s="117">
        <f t="shared" si="0"/>
        <v>14.069648468098061</v>
      </c>
    </row>
    <row r="30" spans="1:8" ht="15" customHeight="1">
      <c r="A30" s="104" t="s">
        <v>21</v>
      </c>
      <c r="B30" s="12">
        <f>B29/B28</f>
        <v>0.31799951241581659</v>
      </c>
      <c r="C30" s="12">
        <f>C29/C28</f>
        <v>0.40703011552085039</v>
      </c>
      <c r="D30" s="12">
        <f>D29/D28</f>
        <v>0.36758983022119318</v>
      </c>
      <c r="E30" s="12">
        <f>E29/E28</f>
        <v>0.32871401821478519</v>
      </c>
      <c r="F30" s="56">
        <f t="shared" ref="F30:G30" si="1">F29/F28</f>
        <v>0.32780484392200993</v>
      </c>
      <c r="G30" s="56">
        <f t="shared" si="1"/>
        <v>0.32780484392200993</v>
      </c>
    </row>
    <row r="31" spans="1:8" ht="15" customHeight="1">
      <c r="A31" s="104" t="s">
        <v>22</v>
      </c>
      <c r="B31" s="5">
        <v>72</v>
      </c>
      <c r="C31" s="5">
        <v>96</v>
      </c>
      <c r="D31" s="5">
        <v>134</v>
      </c>
      <c r="E31" s="5">
        <v>165</v>
      </c>
      <c r="F31" s="5">
        <v>209</v>
      </c>
      <c r="G31" s="117">
        <f>F31*$G$2/$F$2</f>
        <v>286.7115802943058</v>
      </c>
    </row>
    <row r="32" spans="1:8" ht="15" customHeight="1"/>
    <row r="33" spans="8:8" ht="15" customHeight="1"/>
    <row r="34" spans="8:8" ht="15" customHeight="1"/>
    <row r="35" spans="8:8" ht="15" customHeight="1"/>
    <row r="36" spans="8:8" ht="15" customHeight="1"/>
    <row r="37" spans="8:8" ht="15" customHeight="1">
      <c r="H37" s="106"/>
    </row>
    <row r="38" spans="8:8">
      <c r="H38" s="106"/>
    </row>
    <row r="39" spans="8:8" ht="15" customHeight="1"/>
    <row r="40" spans="8:8" ht="15" customHeight="1"/>
    <row r="41" spans="8:8" ht="33.15" customHeight="1"/>
    <row r="42" spans="8:8" ht="30.6" customHeight="1"/>
    <row r="43" spans="8:8" ht="32.700000000000003" customHeight="1"/>
    <row r="44" spans="8:8" ht="32.700000000000003" customHeight="1"/>
    <row r="45" spans="8:8" ht="23.7" customHeight="1"/>
    <row r="46" spans="8:8" ht="15" customHeight="1"/>
    <row r="47" spans="8:8" ht="15" customHeight="1"/>
    <row r="48" spans="8: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spans="7:13" ht="15" customHeight="1"/>
    <row r="66" spans="7:13" ht="15" customHeight="1">
      <c r="G66" s="31" t="s">
        <v>33</v>
      </c>
      <c r="H66" s="31"/>
      <c r="I66" s="31"/>
      <c r="J66" s="115"/>
      <c r="K66" s="31"/>
      <c r="L66" s="31"/>
      <c r="M66" s="31"/>
    </row>
    <row r="67" spans="7:13" ht="15" customHeight="1"/>
    <row r="68" spans="7:13" ht="15" customHeight="1">
      <c r="G68" s="31" t="s">
        <v>33</v>
      </c>
      <c r="H68" s="31"/>
      <c r="I68" s="31"/>
      <c r="J68" s="115"/>
      <c r="K68" s="31"/>
      <c r="L68" s="31"/>
      <c r="M68" s="31"/>
    </row>
    <row r="69" spans="7:13" ht="15" customHeight="1"/>
    <row r="70" spans="7:13" ht="15" customHeight="1"/>
    <row r="71" spans="7:13" ht="15" customHeight="1"/>
    <row r="72" spans="7:13" ht="15" customHeight="1"/>
  </sheetData>
  <pageMargins left="0.78749999999999998" right="0.78749999999999998" top="1.05277777777778" bottom="1.05277777777778" header="0.78749999999999998" footer="0.78749999999999998"/>
  <pageSetup paperSize="9" firstPageNumber="0" orientation="portrait" horizontalDpi="300" verticalDpi="300"/>
  <headerFooter>
    <oddHeader>&amp;C&amp;"Times New Roman,Standard"&amp;12&amp;A</oddHeader>
    <oddFooter>&amp;C&amp;"Times New Roman,Standard"&amp;12Seite &amp;P</oddFooter>
  </headerFooter>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59"/>
  <sheetViews>
    <sheetView tabSelected="1" topLeftCell="A16" zoomScaleNormal="100" workbookViewId="0">
      <selection activeCell="H27" sqref="H27"/>
    </sheetView>
  </sheetViews>
  <sheetFormatPr baseColWidth="10" defaultColWidth="8.6640625" defaultRowHeight="14.4"/>
  <cols>
    <col min="1" max="1" width="34" customWidth="1"/>
    <col min="2" max="6" width="16.21875" customWidth="1"/>
    <col min="7" max="7" width="21.5546875" customWidth="1"/>
    <col min="11" max="11" width="15.6640625" customWidth="1"/>
    <col min="12" max="12" width="17.44140625" customWidth="1"/>
    <col min="13" max="14" width="18" customWidth="1"/>
  </cols>
  <sheetData>
    <row r="1" spans="1:15" ht="15" customHeight="1">
      <c r="A1" s="2" t="s">
        <v>24</v>
      </c>
      <c r="B1" s="2" t="s">
        <v>0</v>
      </c>
      <c r="C1" s="2" t="s">
        <v>1</v>
      </c>
      <c r="D1" s="2" t="s">
        <v>2</v>
      </c>
      <c r="E1" s="2" t="s">
        <v>3</v>
      </c>
      <c r="F1" s="2" t="s">
        <v>4</v>
      </c>
      <c r="G1" s="2">
        <v>2021</v>
      </c>
      <c r="H1" s="2" t="s">
        <v>275</v>
      </c>
      <c r="J1" s="113" t="s">
        <v>69</v>
      </c>
      <c r="K1" s="2" t="s">
        <v>0</v>
      </c>
      <c r="L1" s="2" t="s">
        <v>1</v>
      </c>
      <c r="M1" s="2" t="s">
        <v>2</v>
      </c>
      <c r="N1" s="2" t="s">
        <v>3</v>
      </c>
      <c r="O1" s="2" t="s">
        <v>4</v>
      </c>
    </row>
    <row r="2" spans="1:15" ht="15" customHeight="1">
      <c r="A2" s="48" t="s">
        <v>5</v>
      </c>
      <c r="D2" s="4">
        <v>136819</v>
      </c>
      <c r="E2" s="4">
        <v>161857</v>
      </c>
      <c r="F2" s="4">
        <v>182527</v>
      </c>
      <c r="G2" s="4">
        <v>257637</v>
      </c>
      <c r="H2" s="4">
        <v>1</v>
      </c>
      <c r="J2" t="s">
        <v>5</v>
      </c>
      <c r="M2" s="4">
        <v>136819</v>
      </c>
      <c r="N2" s="4">
        <v>161857</v>
      </c>
      <c r="O2" s="4">
        <v>182527</v>
      </c>
    </row>
    <row r="3" spans="1:15" ht="15" customHeight="1">
      <c r="A3" s="8" t="s">
        <v>10</v>
      </c>
      <c r="D3" s="4">
        <v>30359</v>
      </c>
      <c r="E3" s="4">
        <v>35379</v>
      </c>
      <c r="F3" s="4">
        <v>39411</v>
      </c>
      <c r="G3" s="32">
        <v>90734</v>
      </c>
      <c r="H3" s="4">
        <v>1</v>
      </c>
      <c r="J3" t="s">
        <v>34</v>
      </c>
      <c r="M3" s="4">
        <v>44739</v>
      </c>
      <c r="N3" s="4">
        <v>50645</v>
      </c>
      <c r="O3" s="4">
        <v>55370</v>
      </c>
    </row>
    <row r="4" spans="1:15" ht="15" customHeight="1">
      <c r="A4" s="8" t="s">
        <v>11</v>
      </c>
      <c r="D4" s="4"/>
      <c r="E4" s="4">
        <v>16426</v>
      </c>
      <c r="F4" s="4">
        <v>37576</v>
      </c>
      <c r="G4" s="32">
        <v>77016</v>
      </c>
      <c r="H4" s="106" t="s">
        <v>308</v>
      </c>
    </row>
    <row r="5" spans="1:15" ht="15" customHeight="1">
      <c r="A5" s="8" t="s">
        <v>12</v>
      </c>
      <c r="D5" s="4"/>
      <c r="E5" s="4">
        <v>23199</v>
      </c>
      <c r="F5" s="4">
        <v>10506</v>
      </c>
      <c r="G5" s="32">
        <v>13718</v>
      </c>
      <c r="H5" s="106" t="s">
        <v>308</v>
      </c>
      <c r="J5" t="s">
        <v>38</v>
      </c>
      <c r="K5" s="34">
        <v>0.35</v>
      </c>
      <c r="L5" s="34">
        <v>0.35</v>
      </c>
      <c r="M5" t="s">
        <v>39</v>
      </c>
      <c r="N5" t="s">
        <v>39</v>
      </c>
      <c r="O5" t="s">
        <v>39</v>
      </c>
    </row>
    <row r="6" spans="1:15" ht="15" customHeight="1">
      <c r="A6" s="8" t="s">
        <v>13</v>
      </c>
      <c r="D6" s="4">
        <v>3632</v>
      </c>
      <c r="E6" s="4">
        <v>4716</v>
      </c>
      <c r="F6" s="4">
        <v>6404</v>
      </c>
      <c r="G6" s="4">
        <v>14701</v>
      </c>
      <c r="H6" s="21">
        <v>1</v>
      </c>
      <c r="J6" t="s">
        <v>40</v>
      </c>
      <c r="K6" s="34">
        <v>0</v>
      </c>
      <c r="L6" s="34">
        <v>1E-3</v>
      </c>
      <c r="M6" t="s">
        <v>41</v>
      </c>
      <c r="N6" t="s">
        <v>42</v>
      </c>
      <c r="O6" t="s">
        <v>42</v>
      </c>
    </row>
    <row r="7" spans="1:15" ht="15" customHeight="1">
      <c r="A7" s="8" t="s">
        <v>11</v>
      </c>
      <c r="G7">
        <f>G8+G9</f>
        <v>12144</v>
      </c>
      <c r="H7" s="106" t="s">
        <v>308</v>
      </c>
      <c r="J7" t="s">
        <v>43</v>
      </c>
      <c r="K7" s="34">
        <v>-0.02</v>
      </c>
      <c r="L7" s="34">
        <v>-1.7999999999999999E-2</v>
      </c>
      <c r="M7" t="s">
        <v>44</v>
      </c>
      <c r="N7" t="s">
        <v>45</v>
      </c>
      <c r="O7" t="s">
        <v>46</v>
      </c>
    </row>
    <row r="8" spans="1:15" ht="15" customHeight="1">
      <c r="A8" s="8" t="s">
        <v>14</v>
      </c>
      <c r="G8" s="32">
        <v>10126</v>
      </c>
      <c r="H8" s="106" t="s">
        <v>308</v>
      </c>
      <c r="J8" t="s">
        <v>47</v>
      </c>
      <c r="K8" s="34">
        <v>-3.4000000000000002E-2</v>
      </c>
      <c r="L8" s="34">
        <v>-4.4999999999999998E-2</v>
      </c>
      <c r="M8" t="s">
        <v>48</v>
      </c>
      <c r="N8" t="s">
        <v>49</v>
      </c>
      <c r="O8" t="s">
        <v>50</v>
      </c>
    </row>
    <row r="9" spans="1:15" ht="15" customHeight="1">
      <c r="A9" s="8" t="s">
        <v>15</v>
      </c>
      <c r="G9" s="32">
        <v>2018</v>
      </c>
      <c r="H9" s="106" t="s">
        <v>308</v>
      </c>
      <c r="J9" t="s">
        <v>51</v>
      </c>
      <c r="K9" s="34">
        <v>-0.11</v>
      </c>
      <c r="L9" s="34">
        <v>-0.14199999999999999</v>
      </c>
      <c r="M9" t="s">
        <v>52</v>
      </c>
      <c r="N9" t="s">
        <v>53</v>
      </c>
      <c r="O9" t="s">
        <v>54</v>
      </c>
    </row>
    <row r="10" spans="1:15" ht="15" customHeight="1">
      <c r="A10" s="8" t="s">
        <v>12</v>
      </c>
      <c r="G10">
        <f>G11+G12</f>
        <v>2557</v>
      </c>
      <c r="H10" s="106" t="s">
        <v>308</v>
      </c>
      <c r="J10" t="s">
        <v>55</v>
      </c>
      <c r="K10" s="34">
        <v>0</v>
      </c>
      <c r="L10" s="34">
        <v>0.36199999999999999</v>
      </c>
      <c r="M10" t="s">
        <v>56</v>
      </c>
      <c r="N10" t="s">
        <v>57</v>
      </c>
      <c r="O10" t="s">
        <v>58</v>
      </c>
    </row>
    <row r="11" spans="1:15" ht="15" customHeight="1">
      <c r="A11" s="8" t="s">
        <v>14</v>
      </c>
      <c r="G11">
        <v>2692</v>
      </c>
      <c r="H11" s="106" t="s">
        <v>308</v>
      </c>
      <c r="J11" t="s">
        <v>59</v>
      </c>
      <c r="M11" t="s">
        <v>60</v>
      </c>
      <c r="N11" t="s">
        <v>49</v>
      </c>
      <c r="O11" t="s">
        <v>61</v>
      </c>
    </row>
    <row r="12" spans="1:15">
      <c r="A12" s="8" t="s">
        <v>15</v>
      </c>
      <c r="G12">
        <v>-135</v>
      </c>
      <c r="H12" s="106" t="s">
        <v>308</v>
      </c>
      <c r="J12" t="s">
        <v>62</v>
      </c>
      <c r="M12" t="s">
        <v>63</v>
      </c>
      <c r="N12" t="s">
        <v>64</v>
      </c>
      <c r="O12" t="s">
        <v>58</v>
      </c>
    </row>
    <row r="13" spans="1:15">
      <c r="A13" s="8" t="s">
        <v>281</v>
      </c>
      <c r="E13">
        <v>8203</v>
      </c>
      <c r="F13">
        <v>4990</v>
      </c>
      <c r="G13">
        <v>13412</v>
      </c>
      <c r="H13">
        <v>2</v>
      </c>
      <c r="J13" t="s">
        <v>65</v>
      </c>
      <c r="M13" t="s">
        <v>66</v>
      </c>
      <c r="N13" t="s">
        <v>58</v>
      </c>
      <c r="O13" t="s">
        <v>67</v>
      </c>
    </row>
    <row r="14" spans="1:15">
      <c r="A14" s="10" t="s">
        <v>32</v>
      </c>
      <c r="D14" s="4">
        <v>98771</v>
      </c>
      <c r="E14" s="4">
        <v>118899</v>
      </c>
      <c r="F14" s="4">
        <v>135301</v>
      </c>
      <c r="G14" s="4">
        <v>156500</v>
      </c>
      <c r="H14" s="106" t="s">
        <v>311</v>
      </c>
      <c r="J14" t="s">
        <v>68</v>
      </c>
      <c r="K14" s="34">
        <v>8.0000000000000002E-3</v>
      </c>
      <c r="L14" s="34">
        <v>2.5999999999999999E-2</v>
      </c>
      <c r="M14" t="s">
        <v>42</v>
      </c>
      <c r="N14" t="s">
        <v>41</v>
      </c>
      <c r="O14" t="s">
        <v>58</v>
      </c>
    </row>
    <row r="15" spans="1:15">
      <c r="A15" s="102"/>
    </row>
    <row r="16" spans="1:15">
      <c r="A16" s="48"/>
      <c r="G16" s="4"/>
    </row>
    <row r="17" spans="1:11">
      <c r="A17" s="8" t="s">
        <v>9</v>
      </c>
      <c r="G17">
        <v>3.42</v>
      </c>
      <c r="H17" s="106" t="s">
        <v>285</v>
      </c>
    </row>
    <row r="18" spans="1:11">
      <c r="A18" s="2" t="s">
        <v>279</v>
      </c>
      <c r="B18" s="2" t="s">
        <v>0</v>
      </c>
      <c r="C18" s="2" t="s">
        <v>1</v>
      </c>
      <c r="D18" s="2" t="s">
        <v>2</v>
      </c>
      <c r="E18" s="2" t="s">
        <v>3</v>
      </c>
      <c r="F18" s="2">
        <v>2020</v>
      </c>
      <c r="G18" s="2">
        <v>2021</v>
      </c>
      <c r="H18" s="2"/>
    </row>
    <row r="19" spans="1:11">
      <c r="A19" s="48" t="s">
        <v>5</v>
      </c>
      <c r="B19" s="3"/>
      <c r="C19" s="3"/>
      <c r="D19" s="4">
        <v>25739671000</v>
      </c>
      <c r="E19" s="4">
        <v>26520387000</v>
      </c>
      <c r="H19" s="106" t="s">
        <v>315</v>
      </c>
    </row>
    <row r="20" spans="1:11">
      <c r="A20" s="48" t="s">
        <v>23</v>
      </c>
      <c r="B20" s="3"/>
      <c r="C20" s="3"/>
      <c r="D20" s="4">
        <v>15517334000</v>
      </c>
      <c r="E20" s="4">
        <v>13710858000</v>
      </c>
    </row>
    <row r="21" spans="1:11">
      <c r="A21" s="48" t="s">
        <v>13</v>
      </c>
      <c r="B21" s="3"/>
      <c r="C21" s="3"/>
      <c r="D21" s="20">
        <v>0</v>
      </c>
      <c r="E21" s="20">
        <v>0</v>
      </c>
      <c r="G21" s="12"/>
    </row>
    <row r="22" spans="1:11">
      <c r="A22" s="48" t="s">
        <v>14</v>
      </c>
      <c r="B22" s="48"/>
      <c r="C22" s="48"/>
      <c r="D22" s="20"/>
      <c r="E22" s="20"/>
    </row>
    <row r="23" spans="1:11">
      <c r="A23" s="48" t="s">
        <v>15</v>
      </c>
      <c r="B23" s="48"/>
      <c r="C23" s="48"/>
      <c r="D23" s="20"/>
      <c r="E23" s="20"/>
    </row>
    <row r="24" spans="1:11" ht="28.8">
      <c r="A24" s="7" t="s">
        <v>21</v>
      </c>
      <c r="B24" s="48"/>
      <c r="C24" s="48"/>
      <c r="D24" s="20"/>
      <c r="E24" s="20"/>
    </row>
    <row r="25" spans="1:11">
      <c r="A25" t="s">
        <v>22</v>
      </c>
      <c r="D25" s="20">
        <v>0</v>
      </c>
      <c r="E25" s="20">
        <v>0</v>
      </c>
    </row>
    <row r="26" spans="1:11">
      <c r="A26" s="2" t="s">
        <v>18</v>
      </c>
      <c r="B26" s="2" t="s">
        <v>0</v>
      </c>
      <c r="C26" s="2" t="s">
        <v>1</v>
      </c>
      <c r="D26" s="2" t="s">
        <v>2</v>
      </c>
      <c r="E26" s="2" t="s">
        <v>3</v>
      </c>
      <c r="F26" s="2" t="s">
        <v>4</v>
      </c>
      <c r="G26" s="2">
        <v>2021</v>
      </c>
      <c r="H26" s="106"/>
    </row>
    <row r="27" spans="1:11">
      <c r="A27" s="48" t="s">
        <v>5</v>
      </c>
      <c r="D27" s="4">
        <v>544066622</v>
      </c>
      <c r="E27" s="4">
        <v>716392736.21000004</v>
      </c>
      <c r="F27" s="118">
        <v>893696156.85000002</v>
      </c>
      <c r="G27" s="117">
        <f>F27*$G$2/$F$2/1000000</f>
        <v>1261.4528084193762</v>
      </c>
    </row>
    <row r="28" spans="1:11" ht="28.8">
      <c r="A28" s="7" t="s">
        <v>19</v>
      </c>
      <c r="D28" s="4">
        <v>116550478.42</v>
      </c>
      <c r="E28" s="4">
        <v>140161183</v>
      </c>
      <c r="F28" s="118">
        <f>69661522.38+59434227.3</f>
        <v>129095749.67999999</v>
      </c>
      <c r="G28" s="117">
        <f t="shared" ref="G28:G29" si="0">F28*$G$2/$F$2/1000000</f>
        <v>182.21874933739204</v>
      </c>
    </row>
    <row r="29" spans="1:11">
      <c r="A29" s="8" t="s">
        <v>13</v>
      </c>
      <c r="D29" s="4">
        <v>40034740.259999998</v>
      </c>
      <c r="E29" s="4">
        <v>46551521.590000004</v>
      </c>
      <c r="F29" s="118">
        <v>59434227.299999997</v>
      </c>
      <c r="G29" s="117">
        <f t="shared" si="0"/>
        <v>83.891457257776111</v>
      </c>
    </row>
    <row r="30" spans="1:11" ht="28.8">
      <c r="A30" s="7" t="s">
        <v>21</v>
      </c>
      <c r="D30" s="13">
        <f>(D29)/D28</f>
        <v>0.34349700492632262</v>
      </c>
      <c r="E30" s="13">
        <f>(E29)/E28</f>
        <v>0.33212848660102995</v>
      </c>
      <c r="F30" s="119">
        <f>(F29)/F28</f>
        <v>0.46038872269090492</v>
      </c>
      <c r="G30" s="120">
        <f>(G29)/G28</f>
        <v>0.46038872269090497</v>
      </c>
    </row>
    <row r="31" spans="1:11">
      <c r="A31" s="48" t="s">
        <v>22</v>
      </c>
      <c r="D31" s="4">
        <v>1314</v>
      </c>
      <c r="E31" s="4">
        <v>1818</v>
      </c>
      <c r="F31" s="118">
        <v>2265</v>
      </c>
      <c r="G31" s="117">
        <f>F31*$G$2/$F$2</f>
        <v>3197.0492310726631</v>
      </c>
    </row>
    <row r="32" spans="1:11">
      <c r="A32" s="106" t="s">
        <v>281</v>
      </c>
      <c r="E32" s="4">
        <v>70527</v>
      </c>
      <c r="F32" s="118">
        <v>45923</v>
      </c>
      <c r="G32" s="117">
        <f>F32*$G$2/$F$2</f>
        <v>64820.349597593784</v>
      </c>
    </row>
    <row r="35" spans="7:7">
      <c r="G35" s="38"/>
    </row>
    <row r="37" spans="7:7" ht="15" customHeight="1"/>
    <row r="38" spans="7:7" ht="15" customHeight="1"/>
    <row r="39" spans="7:7" ht="15" customHeight="1"/>
    <row r="40" spans="7:7" ht="39.6" customHeight="1"/>
    <row r="41" spans="7:7" ht="20.85" customHeight="1"/>
    <row r="42" spans="7:7" ht="15" customHeight="1"/>
    <row r="43" spans="7:7" ht="15" customHeight="1"/>
    <row r="44" spans="7:7" ht="15" customHeight="1"/>
    <row r="45" spans="7:7" ht="15" customHeight="1"/>
    <row r="46" spans="7:7" ht="15" customHeight="1"/>
    <row r="47" spans="7:7" ht="15" customHeight="1"/>
    <row r="48" spans="7:7" ht="15" customHeight="1"/>
    <row r="49" spans="7:7" ht="15" customHeight="1"/>
    <row r="50" spans="7:7" ht="15" customHeight="1"/>
    <row r="51" spans="7:7" ht="15" customHeight="1"/>
    <row r="52" spans="7:7" ht="15" customHeight="1"/>
    <row r="53" spans="7:7" ht="15" customHeight="1"/>
    <row r="54" spans="7:7" ht="15" customHeight="1"/>
    <row r="55" spans="7:7" ht="15" customHeight="1"/>
    <row r="56" spans="7:7" ht="15" customHeight="1"/>
    <row r="57" spans="7:7" ht="15" customHeight="1"/>
    <row r="59" spans="7:7">
      <c r="G59" s="11"/>
    </row>
  </sheetData>
  <printOptions gridLines="1"/>
  <pageMargins left="0.7" right="0.7" top="0.75" bottom="0.75" header="0.51180555555555496" footer="0.51180555555555496"/>
  <pageSetup paperSize="9" firstPageNumber="0" orientation="portrait" horizontalDpi="300" verticalDpi="300"/>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2"/>
  <sheetViews>
    <sheetView topLeftCell="A9" zoomScaleNormal="100" workbookViewId="0">
      <selection activeCell="H27" sqref="H27"/>
    </sheetView>
  </sheetViews>
  <sheetFormatPr baseColWidth="10" defaultColWidth="8.6640625" defaultRowHeight="14.4"/>
  <cols>
    <col min="1" max="1" width="34" style="113" customWidth="1"/>
    <col min="2" max="6" width="15.109375" bestFit="1" customWidth="1"/>
    <col min="7" max="7" width="11" bestFit="1" customWidth="1"/>
    <col min="9" max="9" width="23" customWidth="1"/>
    <col min="10" max="10" width="11.88671875" customWidth="1"/>
    <col min="11" max="11" width="16.21875" customWidth="1"/>
    <col min="12" max="12" width="14.88671875" customWidth="1"/>
    <col min="13" max="13" width="13.88671875" customWidth="1"/>
    <col min="14" max="14" width="17.21875" customWidth="1"/>
  </cols>
  <sheetData>
    <row r="1" spans="1:15" ht="15" customHeight="1">
      <c r="A1" s="2" t="s">
        <v>24</v>
      </c>
      <c r="B1" s="2" t="s">
        <v>70</v>
      </c>
      <c r="C1" s="2" t="s">
        <v>71</v>
      </c>
      <c r="D1" s="2" t="s">
        <v>72</v>
      </c>
      <c r="E1" s="2" t="s">
        <v>73</v>
      </c>
      <c r="F1" s="2" t="s">
        <v>74</v>
      </c>
      <c r="G1" s="2" t="s">
        <v>316</v>
      </c>
      <c r="H1" s="2" t="s">
        <v>275</v>
      </c>
      <c r="J1" s="113"/>
      <c r="K1" s="2"/>
      <c r="L1" s="2"/>
      <c r="M1" s="2"/>
      <c r="N1" s="2"/>
      <c r="O1" s="2"/>
    </row>
    <row r="2" spans="1:15" ht="15" customHeight="1">
      <c r="A2" s="104" t="s">
        <v>5</v>
      </c>
      <c r="B2" s="40">
        <v>96571</v>
      </c>
      <c r="C2" s="40">
        <v>110360</v>
      </c>
      <c r="D2" s="40">
        <v>125843</v>
      </c>
      <c r="E2" s="40">
        <v>143015</v>
      </c>
      <c r="F2" s="4">
        <v>168088</v>
      </c>
      <c r="G2" s="40">
        <v>198270</v>
      </c>
      <c r="H2" s="4">
        <v>1</v>
      </c>
    </row>
    <row r="3" spans="1:15" ht="25.2" customHeight="1">
      <c r="A3" s="114" t="s">
        <v>10</v>
      </c>
      <c r="B3" s="4">
        <v>29901</v>
      </c>
      <c r="C3" s="4">
        <v>36474</v>
      </c>
      <c r="D3" s="4">
        <v>43688</v>
      </c>
      <c r="E3" s="4">
        <v>53036</v>
      </c>
      <c r="F3" s="4">
        <v>71102</v>
      </c>
      <c r="G3" s="4">
        <v>83716</v>
      </c>
      <c r="H3" s="4">
        <v>1</v>
      </c>
    </row>
    <row r="4" spans="1:15" ht="15" customHeight="1">
      <c r="A4" s="114" t="s">
        <v>11</v>
      </c>
      <c r="B4" s="21">
        <v>6843</v>
      </c>
      <c r="C4" s="21">
        <v>11527</v>
      </c>
      <c r="D4" s="21">
        <v>15799</v>
      </c>
      <c r="E4" s="21">
        <v>24116</v>
      </c>
      <c r="F4" s="21">
        <v>34972</v>
      </c>
      <c r="G4" s="21">
        <v>47837</v>
      </c>
      <c r="H4" s="106" t="s">
        <v>317</v>
      </c>
    </row>
    <row r="5" spans="1:15" ht="15" customHeight="1">
      <c r="A5" s="114" t="s">
        <v>12</v>
      </c>
      <c r="B5" s="21">
        <v>23058</v>
      </c>
      <c r="C5" s="21">
        <v>24947</v>
      </c>
      <c r="D5" s="21">
        <v>27889</v>
      </c>
      <c r="E5" s="21">
        <v>28920</v>
      </c>
      <c r="F5" s="21">
        <v>36130</v>
      </c>
      <c r="G5" s="21">
        <v>35879</v>
      </c>
      <c r="H5" s="106" t="s">
        <v>317</v>
      </c>
    </row>
    <row r="6" spans="1:15" ht="15" customHeight="1">
      <c r="A6" s="114" t="s">
        <v>13</v>
      </c>
      <c r="B6" s="21">
        <v>4412</v>
      </c>
      <c r="C6" s="21">
        <v>19903</v>
      </c>
      <c r="D6" s="21">
        <v>4448</v>
      </c>
      <c r="E6" s="21">
        <v>8755</v>
      </c>
      <c r="F6" s="21">
        <v>9831</v>
      </c>
      <c r="G6" s="21">
        <v>10978</v>
      </c>
      <c r="H6" s="21">
        <v>1</v>
      </c>
    </row>
    <row r="7" spans="1:15" ht="15" customHeight="1">
      <c r="A7" s="114" t="s">
        <v>11</v>
      </c>
      <c r="B7" s="21">
        <v>2484</v>
      </c>
      <c r="C7" s="21">
        <v>15948</v>
      </c>
      <c r="D7" s="21">
        <v>-1277</v>
      </c>
      <c r="E7" s="21">
        <v>4352</v>
      </c>
      <c r="F7" s="21">
        <v>-4335</v>
      </c>
      <c r="G7">
        <f>G8+G9</f>
        <v>4131</v>
      </c>
      <c r="H7" s="106" t="s">
        <v>317</v>
      </c>
    </row>
    <row r="8" spans="1:15" ht="15" customHeight="1">
      <c r="A8" s="114" t="s">
        <v>14</v>
      </c>
      <c r="B8" s="21">
        <v>2769</v>
      </c>
      <c r="C8" s="21">
        <v>20698</v>
      </c>
      <c r="D8" s="21">
        <v>5380</v>
      </c>
      <c r="E8" s="21">
        <v>4300</v>
      </c>
      <c r="F8" s="21">
        <v>4514</v>
      </c>
      <c r="G8">
        <f>8329+1679</f>
        <v>10008</v>
      </c>
      <c r="H8" s="106" t="s">
        <v>317</v>
      </c>
    </row>
    <row r="9" spans="1:15" ht="15" customHeight="1">
      <c r="A9" s="114" t="s">
        <v>15</v>
      </c>
      <c r="B9" s="21">
        <v>-285</v>
      </c>
      <c r="C9" s="21">
        <v>-4750</v>
      </c>
      <c r="D9" s="21">
        <v>-6657</v>
      </c>
      <c r="E9" s="21">
        <v>52</v>
      </c>
      <c r="F9" s="21">
        <v>-179</v>
      </c>
      <c r="G9">
        <f>-4815-1062</f>
        <v>-5877</v>
      </c>
      <c r="H9" s="106" t="s">
        <v>317</v>
      </c>
    </row>
    <row r="10" spans="1:15" ht="15" customHeight="1">
      <c r="A10" s="114" t="s">
        <v>12</v>
      </c>
      <c r="B10" s="21">
        <v>1928</v>
      </c>
      <c r="C10" s="21">
        <v>3955</v>
      </c>
      <c r="D10" s="21">
        <v>5725</v>
      </c>
      <c r="E10" s="21">
        <v>4403</v>
      </c>
      <c r="F10" s="21">
        <v>5496</v>
      </c>
      <c r="G10">
        <f>G11+G12</f>
        <v>6847</v>
      </c>
      <c r="H10" s="106" t="s">
        <v>317</v>
      </c>
    </row>
    <row r="11" spans="1:15" ht="15" customHeight="1">
      <c r="A11" s="114" t="s">
        <v>14</v>
      </c>
      <c r="B11" s="21">
        <v>2472</v>
      </c>
      <c r="C11" s="21">
        <v>4348</v>
      </c>
      <c r="D11" s="21">
        <v>5531</v>
      </c>
      <c r="E11" s="21">
        <v>4444</v>
      </c>
      <c r="F11" s="21">
        <v>5467</v>
      </c>
      <c r="G11" s="21">
        <v>6672</v>
      </c>
      <c r="H11" s="106" t="s">
        <v>317</v>
      </c>
    </row>
    <row r="12" spans="1:15" ht="15" customHeight="1">
      <c r="A12" s="114" t="s">
        <v>15</v>
      </c>
      <c r="B12" s="21">
        <v>-544</v>
      </c>
      <c r="C12" s="21">
        <v>-393</v>
      </c>
      <c r="D12" s="21">
        <v>194</v>
      </c>
      <c r="E12" s="21">
        <v>-41</v>
      </c>
      <c r="F12" s="21">
        <v>29</v>
      </c>
      <c r="G12" s="21">
        <v>175</v>
      </c>
      <c r="H12" s="106" t="s">
        <v>317</v>
      </c>
    </row>
    <row r="13" spans="1:15" ht="15" customHeight="1">
      <c r="A13" s="114" t="s">
        <v>281</v>
      </c>
      <c r="B13" s="9"/>
      <c r="C13" s="9"/>
      <c r="D13" s="9"/>
      <c r="E13" s="9"/>
      <c r="F13" s="9"/>
      <c r="H13">
        <v>2</v>
      </c>
    </row>
    <row r="14" spans="1:15" ht="15" customHeight="1">
      <c r="A14" s="114" t="s">
        <v>32</v>
      </c>
      <c r="B14" s="5">
        <v>124000</v>
      </c>
      <c r="C14" s="5">
        <v>131000</v>
      </c>
      <c r="D14" s="5">
        <v>144000</v>
      </c>
      <c r="E14" s="5">
        <v>163000</v>
      </c>
      <c r="F14" s="5">
        <v>181000</v>
      </c>
      <c r="G14" s="5">
        <v>221000</v>
      </c>
      <c r="H14" s="121" t="s">
        <v>318</v>
      </c>
    </row>
    <row r="15" spans="1:15" ht="15" customHeight="1">
      <c r="A15" s="114"/>
      <c r="B15" s="5"/>
      <c r="C15" s="5"/>
      <c r="D15" s="5"/>
      <c r="E15" s="5"/>
      <c r="F15" s="5"/>
    </row>
    <row r="16" spans="1:15" ht="15" customHeight="1">
      <c r="A16" s="114"/>
      <c r="B16" s="5"/>
      <c r="C16" s="5"/>
      <c r="D16" s="5"/>
      <c r="E16" s="5"/>
      <c r="F16" s="5"/>
    </row>
    <row r="17" spans="1:8" ht="15" customHeight="1">
      <c r="A17" s="114" t="s">
        <v>9</v>
      </c>
      <c r="B17" s="9">
        <v>3.4200000000000001E-2</v>
      </c>
      <c r="C17" s="9">
        <v>3.4200000000000001E-2</v>
      </c>
      <c r="D17" s="9">
        <v>3.4200000000000001E-2</v>
      </c>
      <c r="E17" s="9">
        <v>3.4200000000000001E-2</v>
      </c>
      <c r="F17" s="9">
        <v>3.4200000000000001E-2</v>
      </c>
      <c r="G17" s="9">
        <v>3.4200000000000001E-2</v>
      </c>
      <c r="H17" s="106" t="s">
        <v>285</v>
      </c>
    </row>
    <row r="18" spans="1:8" ht="15" customHeight="1">
      <c r="A18" s="105" t="s">
        <v>75</v>
      </c>
      <c r="B18" s="39" t="s">
        <v>70</v>
      </c>
      <c r="C18" s="39" t="s">
        <v>71</v>
      </c>
      <c r="D18" s="39" t="s">
        <v>72</v>
      </c>
      <c r="E18" s="39" t="s">
        <v>73</v>
      </c>
      <c r="F18" s="39" t="s">
        <v>74</v>
      </c>
    </row>
    <row r="19" spans="1:8" ht="15" customHeight="1">
      <c r="A19" s="104" t="s">
        <v>5</v>
      </c>
      <c r="B19" s="4"/>
      <c r="C19" s="4">
        <v>39254143</v>
      </c>
      <c r="D19" s="4">
        <v>9873320</v>
      </c>
      <c r="E19" s="4">
        <v>13608801</v>
      </c>
      <c r="F19" s="4">
        <v>30081117</v>
      </c>
      <c r="H19" s="106" t="s">
        <v>319</v>
      </c>
    </row>
    <row r="20" spans="1:8" ht="15" customHeight="1">
      <c r="A20" s="104" t="s">
        <v>23</v>
      </c>
      <c r="B20" s="4"/>
      <c r="C20" s="4">
        <v>39308525</v>
      </c>
      <c r="D20" s="4">
        <v>9927498</v>
      </c>
      <c r="E20" s="4">
        <v>314734930</v>
      </c>
      <c r="F20" s="4">
        <v>30053628</v>
      </c>
    </row>
    <row r="21" spans="1:8" ht="15" customHeight="1">
      <c r="A21" s="104" t="s">
        <v>13</v>
      </c>
      <c r="B21" s="4"/>
      <c r="C21" s="4">
        <f>C36/USD_EUR!$B$4</f>
        <v>5275659.6166666662</v>
      </c>
      <c r="D21" s="4">
        <f>D36/USD_EUR!$B$5</f>
        <v>1213656.0869565217</v>
      </c>
      <c r="E21" s="4">
        <f>E36/USD_EUR!$B$6</f>
        <v>1589971.3303571427</v>
      </c>
      <c r="F21" s="4">
        <v>0</v>
      </c>
      <c r="H21" s="106" t="s">
        <v>320</v>
      </c>
    </row>
    <row r="22" spans="1:8" ht="15" customHeight="1">
      <c r="A22" s="104"/>
      <c r="B22" s="4"/>
      <c r="C22" s="4"/>
      <c r="D22" s="4"/>
      <c r="E22" s="4"/>
      <c r="F22" s="4"/>
    </row>
    <row r="23" spans="1:8" ht="15" customHeight="1">
      <c r="A23" s="104"/>
      <c r="B23" s="4"/>
      <c r="C23" s="4"/>
      <c r="D23" s="4"/>
      <c r="E23" s="4"/>
      <c r="F23" s="4"/>
    </row>
    <row r="24" spans="1:8" ht="15" customHeight="1">
      <c r="A24" s="104" t="s">
        <v>21</v>
      </c>
      <c r="C24">
        <v>0</v>
      </c>
      <c r="D24">
        <v>0</v>
      </c>
      <c r="E24" s="3">
        <v>0</v>
      </c>
      <c r="F24" s="14"/>
    </row>
    <row r="25" spans="1:8" ht="15" customHeight="1">
      <c r="A25" s="113" t="s">
        <v>22</v>
      </c>
      <c r="C25">
        <v>0</v>
      </c>
      <c r="D25">
        <v>0</v>
      </c>
      <c r="E25" s="3">
        <v>0</v>
      </c>
      <c r="F25" s="14"/>
    </row>
    <row r="26" spans="1:8" ht="15" customHeight="1">
      <c r="A26" s="105" t="s">
        <v>18</v>
      </c>
      <c r="B26" s="39" t="s">
        <v>70</v>
      </c>
      <c r="C26" s="39" t="s">
        <v>71</v>
      </c>
      <c r="D26" s="39" t="s">
        <v>72</v>
      </c>
      <c r="E26" s="39" t="s">
        <v>73</v>
      </c>
      <c r="F26" s="39" t="s">
        <v>74</v>
      </c>
      <c r="H26" s="106"/>
    </row>
    <row r="27" spans="1:8" ht="15" customHeight="1">
      <c r="A27" s="104" t="s">
        <v>5</v>
      </c>
      <c r="B27" s="14">
        <v>1242187417.6099999</v>
      </c>
      <c r="C27" s="14">
        <v>2260730753.9200001</v>
      </c>
      <c r="D27" s="14">
        <v>3466209641.54</v>
      </c>
      <c r="E27" s="15">
        <v>4581376599.7800007</v>
      </c>
      <c r="F27" s="26">
        <v>5111855250.3299999</v>
      </c>
      <c r="G27">
        <f>F27*$G$2/$F$2/1000000</f>
        <v>6029.7435895657582</v>
      </c>
      <c r="H27" t="s">
        <v>321</v>
      </c>
    </row>
    <row r="28" spans="1:8" ht="15" customHeight="1">
      <c r="A28" s="104" t="s">
        <v>19</v>
      </c>
      <c r="B28" s="14">
        <v>170765092.53</v>
      </c>
      <c r="C28" s="5">
        <v>194158261.65000001</v>
      </c>
      <c r="D28" s="5">
        <v>237397127.47</v>
      </c>
      <c r="E28" s="14">
        <v>271299231.89999998</v>
      </c>
      <c r="F28" s="16">
        <v>315575846.53000003</v>
      </c>
      <c r="G28">
        <f t="shared" ref="G28:G29" si="0">F28*$G$2/$F$2/1000000</f>
        <v>372.24086842310641</v>
      </c>
    </row>
    <row r="29" spans="1:8" ht="15" customHeight="1">
      <c r="A29" s="114" t="s">
        <v>13</v>
      </c>
      <c r="B29" s="14">
        <v>59902851.880000003</v>
      </c>
      <c r="C29" s="14">
        <v>69192700.439999998</v>
      </c>
      <c r="D29" s="14">
        <v>65396033.049999997</v>
      </c>
      <c r="E29" s="16">
        <v>91100883.730000004</v>
      </c>
      <c r="F29" s="16">
        <v>121500383.36999999</v>
      </c>
      <c r="G29">
        <f t="shared" si="0"/>
        <v>143.31707802323723</v>
      </c>
    </row>
    <row r="30" spans="1:8" ht="15" customHeight="1">
      <c r="A30" s="104" t="s">
        <v>21</v>
      </c>
      <c r="B30" s="12">
        <f>B29/B28</f>
        <v>0.35079096665775689</v>
      </c>
      <c r="C30" s="12">
        <f>C29/C28</f>
        <v>0.35637268201715999</v>
      </c>
      <c r="D30" s="12">
        <f>D29/D28</f>
        <v>0.27547103769511333</v>
      </c>
      <c r="E30" s="56">
        <v>0.33579484575754159</v>
      </c>
      <c r="F30" s="56">
        <v>0.38501166900442624</v>
      </c>
      <c r="G30" s="56">
        <v>0.38501166900442624</v>
      </c>
    </row>
    <row r="31" spans="1:8">
      <c r="A31" s="113" t="s">
        <v>22</v>
      </c>
      <c r="E31">
        <v>2698</v>
      </c>
      <c r="F31">
        <v>2895</v>
      </c>
      <c r="G31">
        <f>F31*$G$2/$F$2</f>
        <v>3414.8282447289516</v>
      </c>
    </row>
    <row r="34" spans="1:6">
      <c r="A34" s="116" t="s">
        <v>325</v>
      </c>
      <c r="B34" s="122" t="s">
        <v>322</v>
      </c>
      <c r="C34" s="122" t="s">
        <v>324</v>
      </c>
      <c r="D34" s="122" t="s">
        <v>326</v>
      </c>
      <c r="E34" s="122" t="s">
        <v>327</v>
      </c>
      <c r="F34" s="122" t="s">
        <v>235</v>
      </c>
    </row>
    <row r="35" spans="1:6" ht="15" customHeight="1">
      <c r="A35" s="104" t="s">
        <v>5</v>
      </c>
      <c r="B35" s="26">
        <v>4926219417.6999998</v>
      </c>
      <c r="C35" s="14">
        <v>153038417.61000001</v>
      </c>
      <c r="D35" s="4">
        <v>18841876.420000002</v>
      </c>
      <c r="E35" s="4">
        <v>13755538.6</v>
      </c>
      <c r="F35" s="4">
        <f>SUM(B35:E35)</f>
        <v>5111855250.3299999</v>
      </c>
    </row>
    <row r="36" spans="1:6" ht="15" customHeight="1">
      <c r="A36" s="104" t="s">
        <v>19</v>
      </c>
      <c r="B36" s="16">
        <f>206822211.19+B37</f>
        <v>306068582.60000002</v>
      </c>
      <c r="C36" s="14">
        <f>-14768391.34+C37</f>
        <v>6330791.5399999991</v>
      </c>
      <c r="D36" s="14">
        <f>919228.91+D37</f>
        <v>1395704.5</v>
      </c>
      <c r="E36" s="14">
        <f>1102414.4+E37</f>
        <v>1780767.89</v>
      </c>
      <c r="F36" s="4">
        <f t="shared" ref="F36:F46" si="1">SUM(B36:E36)</f>
        <v>315575846.53000003</v>
      </c>
    </row>
    <row r="37" spans="1:6" ht="15" customHeight="1">
      <c r="A37" s="114" t="s">
        <v>13</v>
      </c>
      <c r="B37" s="16">
        <v>99246371.409999996</v>
      </c>
      <c r="C37" s="14">
        <v>21099182.879999999</v>
      </c>
      <c r="D37" s="14">
        <v>476475.59</v>
      </c>
      <c r="E37" s="14">
        <v>678353.49</v>
      </c>
      <c r="F37" s="4">
        <f t="shared" si="1"/>
        <v>121500383.36999999</v>
      </c>
    </row>
    <row r="38" spans="1:6" ht="15" customHeight="1">
      <c r="A38" s="104" t="s">
        <v>21</v>
      </c>
      <c r="B38" s="56">
        <f t="shared" ref="B38" si="2">B37/B36</f>
        <v>0.3242618715286591</v>
      </c>
      <c r="C38" s="56">
        <f t="shared" ref="C38" si="3">C37/C36</f>
        <v>3.3327874953216359</v>
      </c>
      <c r="D38" s="56">
        <f t="shared" ref="D38" si="4">D37/D36</f>
        <v>0.34138715609213843</v>
      </c>
      <c r="E38" s="56">
        <f t="shared" ref="E38:F38" si="5">E37/E36</f>
        <v>0.38093313216693281</v>
      </c>
      <c r="F38" s="56">
        <f t="shared" si="5"/>
        <v>0.38501166900442624</v>
      </c>
    </row>
    <row r="39" spans="1:6" ht="15" customHeight="1">
      <c r="A39" s="113" t="s">
        <v>22</v>
      </c>
      <c r="B39">
        <v>2720</v>
      </c>
      <c r="C39">
        <v>28</v>
      </c>
      <c r="D39">
        <v>93</v>
      </c>
      <c r="E39">
        <v>54</v>
      </c>
      <c r="F39" s="4">
        <f t="shared" si="1"/>
        <v>2895</v>
      </c>
    </row>
    <row r="40" spans="1:6" ht="15" customHeight="1">
      <c r="E40" s="3"/>
      <c r="F40" s="4"/>
    </row>
    <row r="41" spans="1:6" ht="15" customHeight="1">
      <c r="A41" s="116" t="s">
        <v>323</v>
      </c>
      <c r="B41" s="122" t="s">
        <v>322</v>
      </c>
      <c r="C41" s="122" t="s">
        <v>324</v>
      </c>
      <c r="D41" s="106" t="s">
        <v>326</v>
      </c>
      <c r="E41" s="106" t="s">
        <v>327</v>
      </c>
      <c r="F41" s="4"/>
    </row>
    <row r="42" spans="1:6" ht="15" customHeight="1">
      <c r="A42" s="104" t="s">
        <v>5</v>
      </c>
      <c r="B42" s="15">
        <v>4419375355.6000004</v>
      </c>
      <c r="C42" s="4">
        <v>133056244.18000001</v>
      </c>
      <c r="D42" s="14">
        <v>15778000</v>
      </c>
      <c r="E42" s="4">
        <v>13167000</v>
      </c>
      <c r="F42" s="4">
        <f t="shared" si="1"/>
        <v>4581376599.7800007</v>
      </c>
    </row>
    <row r="43" spans="1:6" ht="15" customHeight="1">
      <c r="A43" s="104" t="s">
        <v>19</v>
      </c>
      <c r="B43" s="14">
        <f>174087754.8+B44</f>
        <v>262089215.24000001</v>
      </c>
      <c r="C43" s="14">
        <f>4392593.37+C44</f>
        <v>6336016.6600000001</v>
      </c>
      <c r="D43" s="14">
        <f>722000+D44</f>
        <v>1174000</v>
      </c>
      <c r="E43" s="5">
        <f>996000+E44</f>
        <v>1700000</v>
      </c>
      <c r="F43" s="4">
        <f t="shared" si="1"/>
        <v>271299231.89999998</v>
      </c>
    </row>
    <row r="44" spans="1:6" ht="15" customHeight="1">
      <c r="A44" s="114" t="s">
        <v>13</v>
      </c>
      <c r="B44" s="16">
        <v>88001460.439999998</v>
      </c>
      <c r="C44" s="14">
        <v>1943423.29</v>
      </c>
      <c r="D44" s="14">
        <v>452000</v>
      </c>
      <c r="E44">
        <v>704000</v>
      </c>
      <c r="F44" s="4">
        <f t="shared" si="1"/>
        <v>91100883.730000004</v>
      </c>
    </row>
    <row r="45" spans="1:6" ht="15" customHeight="1">
      <c r="A45" s="104" t="s">
        <v>21</v>
      </c>
      <c r="B45" s="56">
        <f t="shared" ref="B45" si="6">B44/B43</f>
        <v>0.33576910198084803</v>
      </c>
      <c r="C45" s="56">
        <f t="shared" ref="C45" si="7">C44/C43</f>
        <v>0.30672635415702965</v>
      </c>
      <c r="D45" s="56">
        <f t="shared" ref="D45" si="8">D44/D43</f>
        <v>0.38500851788756391</v>
      </c>
      <c r="E45" s="56">
        <f t="shared" ref="E45:F45" si="9">E44/E43</f>
        <v>0.41411764705882353</v>
      </c>
      <c r="F45" s="56">
        <f t="shared" si="9"/>
        <v>0.33579484575754159</v>
      </c>
    </row>
    <row r="46" spans="1:6" ht="15" customHeight="1">
      <c r="A46" s="113" t="s">
        <v>22</v>
      </c>
      <c r="B46">
        <v>2548</v>
      </c>
      <c r="C46">
        <v>20</v>
      </c>
      <c r="D46">
        <v>78</v>
      </c>
      <c r="E46">
        <v>52</v>
      </c>
      <c r="F46" s="4">
        <f t="shared" si="1"/>
        <v>2698</v>
      </c>
    </row>
    <row r="47" spans="1:6" ht="15" customHeight="1"/>
    <row r="48" spans="1:6" ht="15" customHeight="1"/>
    <row r="49" ht="15" customHeight="1"/>
    <row r="50" ht="15" customHeight="1"/>
    <row r="51" ht="15" customHeight="1"/>
    <row r="53" ht="15" customHeight="1"/>
    <row r="54" ht="15" customHeight="1"/>
    <row r="55" ht="23.7" customHeight="1"/>
    <row r="56" ht="15" customHeight="1"/>
    <row r="57" ht="15" customHeight="1"/>
    <row r="58" ht="15" customHeight="1"/>
    <row r="59" ht="15" customHeight="1"/>
    <row r="60" ht="15" customHeight="1"/>
    <row r="61" ht="15" customHeight="1"/>
    <row r="62" ht="15" customHeight="1"/>
    <row r="63" ht="15" customHeight="1"/>
    <row r="64" ht="15" customHeight="1"/>
    <row r="65" spans="8:8" ht="15" customHeight="1"/>
    <row r="66" spans="8:8" ht="15" customHeight="1">
      <c r="H66" s="31"/>
    </row>
    <row r="67" spans="8:8" ht="15" customHeight="1"/>
    <row r="68" spans="8:8" ht="15" customHeight="1">
      <c r="H68" s="31"/>
    </row>
    <row r="69" spans="8:8" ht="15" customHeight="1"/>
    <row r="70" spans="8:8" ht="15" customHeight="1"/>
    <row r="71" spans="8:8" ht="15" customHeight="1"/>
    <row r="72" spans="8:8" ht="15" customHeight="1"/>
    <row r="73" spans="8:8" ht="15" customHeight="1"/>
    <row r="74" spans="8:8" ht="15" customHeight="1"/>
    <row r="75" spans="8:8" ht="15" customHeight="1"/>
    <row r="76" spans="8:8" ht="15" customHeight="1"/>
    <row r="77" spans="8:8" ht="15" customHeight="1"/>
    <row r="78" spans="8:8" ht="15" customHeight="1"/>
    <row r="79" spans="8:8" ht="15" customHeight="1"/>
    <row r="80" spans="8:8" ht="15" customHeight="1"/>
    <row r="81" ht="15" customHeight="1"/>
    <row r="82" ht="15" customHeight="1"/>
  </sheetData>
  <pageMargins left="0.78749999999999998" right="0.78749999999999998" top="1.05277777777778" bottom="1.05277777777778" header="0.78749999999999998" footer="0.78749999999999998"/>
  <pageSetup paperSize="9" firstPageNumber="0" orientation="portrait" horizontalDpi="300" verticalDpi="300"/>
  <headerFooter>
    <oddHeader>&amp;C&amp;"Times New Roman,Standard"&amp;12&amp;A</oddHeader>
    <oddFooter>&amp;C&amp;"Times New Roman,Standard"&amp;12Seite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3"/>
  <sheetViews>
    <sheetView topLeftCell="A9" zoomScaleNormal="100" workbookViewId="0">
      <selection sqref="A1:XFD1"/>
    </sheetView>
  </sheetViews>
  <sheetFormatPr baseColWidth="10" defaultColWidth="8.6640625" defaultRowHeight="14.4"/>
  <cols>
    <col min="1" max="1" width="34" style="113" customWidth="1"/>
    <col min="2" max="2" width="20.5546875" customWidth="1"/>
    <col min="3" max="6" width="20.44140625" customWidth="1"/>
    <col min="7" max="7" width="11" bestFit="1" customWidth="1"/>
  </cols>
  <sheetData>
    <row r="1" spans="1:15" ht="15" customHeight="1">
      <c r="A1" s="2" t="s">
        <v>24</v>
      </c>
      <c r="B1" s="2" t="s">
        <v>0</v>
      </c>
      <c r="C1" s="2" t="s">
        <v>1</v>
      </c>
      <c r="D1" s="2" t="s">
        <v>2</v>
      </c>
      <c r="E1" s="2" t="s">
        <v>3</v>
      </c>
      <c r="F1" s="2" t="s">
        <v>4</v>
      </c>
      <c r="G1" s="2">
        <v>2021</v>
      </c>
      <c r="H1" s="2" t="s">
        <v>275</v>
      </c>
      <c r="J1" s="113"/>
      <c r="K1" s="2"/>
      <c r="L1" s="2"/>
      <c r="M1" s="2"/>
      <c r="N1" s="2"/>
      <c r="O1" s="2"/>
    </row>
    <row r="2" spans="1:15" ht="15" customHeight="1">
      <c r="A2" s="104" t="s">
        <v>5</v>
      </c>
      <c r="B2" s="4">
        <v>135987</v>
      </c>
      <c r="C2" s="4">
        <v>177866</v>
      </c>
      <c r="D2" s="4">
        <v>232887</v>
      </c>
      <c r="E2" s="4">
        <v>280522</v>
      </c>
      <c r="F2" s="4">
        <v>386064</v>
      </c>
      <c r="G2" s="4">
        <v>469822</v>
      </c>
      <c r="H2" s="4">
        <v>1</v>
      </c>
    </row>
    <row r="3" spans="1:15" ht="23.7" customHeight="1">
      <c r="A3" s="114" t="s">
        <v>10</v>
      </c>
      <c r="B3" s="4">
        <v>3892</v>
      </c>
      <c r="C3" s="4">
        <v>3806</v>
      </c>
      <c r="D3" s="4">
        <v>11261</v>
      </c>
      <c r="E3" s="4">
        <v>13976</v>
      </c>
      <c r="F3" s="4">
        <v>24178</v>
      </c>
      <c r="G3" s="4">
        <v>38151</v>
      </c>
      <c r="H3" s="4">
        <v>1</v>
      </c>
    </row>
    <row r="4" spans="1:15" ht="15" customHeight="1">
      <c r="A4" s="114" t="s">
        <v>11</v>
      </c>
      <c r="B4" s="21">
        <v>4551</v>
      </c>
      <c r="C4" s="21">
        <v>5630</v>
      </c>
      <c r="D4" s="21">
        <v>11157</v>
      </c>
      <c r="E4" s="21">
        <v>13285</v>
      </c>
      <c r="F4" s="21">
        <v>20219</v>
      </c>
      <c r="G4" s="21">
        <v>35879</v>
      </c>
      <c r="H4" s="106" t="s">
        <v>284</v>
      </c>
    </row>
    <row r="5" spans="1:15" ht="15" customHeight="1">
      <c r="A5" s="114" t="s">
        <v>12</v>
      </c>
      <c r="B5" s="21">
        <v>-659</v>
      </c>
      <c r="C5" s="21">
        <v>-1824</v>
      </c>
      <c r="D5" s="21">
        <v>104</v>
      </c>
      <c r="E5" s="21">
        <v>691</v>
      </c>
      <c r="F5" s="21">
        <v>3959</v>
      </c>
      <c r="G5" s="21">
        <v>2272</v>
      </c>
      <c r="H5" s="106" t="s">
        <v>284</v>
      </c>
    </row>
    <row r="6" spans="1:15" ht="15" customHeight="1">
      <c r="A6" s="114" t="s">
        <v>13</v>
      </c>
      <c r="B6" s="21">
        <v>1425</v>
      </c>
      <c r="C6" s="21">
        <v>769</v>
      </c>
      <c r="D6" s="21">
        <v>1197</v>
      </c>
      <c r="E6" s="21">
        <v>2374</v>
      </c>
      <c r="F6" s="21">
        <v>2863</v>
      </c>
      <c r="G6" s="21">
        <v>4791</v>
      </c>
      <c r="H6" s="21">
        <v>1</v>
      </c>
    </row>
    <row r="7" spans="1:15" ht="15" customHeight="1">
      <c r="A7" s="114" t="s">
        <v>11</v>
      </c>
      <c r="B7" s="21">
        <f>B8+B9</f>
        <v>1429</v>
      </c>
      <c r="C7" s="21">
        <f>C8+C9</f>
        <v>-154</v>
      </c>
      <c r="D7" s="21">
        <v>763</v>
      </c>
      <c r="E7" s="21">
        <v>1360</v>
      </c>
      <c r="F7" s="21">
        <v>2120</v>
      </c>
      <c r="G7">
        <f>G8+G9</f>
        <v>2869</v>
      </c>
      <c r="H7" s="106" t="s">
        <v>284</v>
      </c>
    </row>
    <row r="8" spans="1:15" ht="15" customHeight="1">
      <c r="A8" s="114" t="s">
        <v>14</v>
      </c>
      <c r="B8" s="21">
        <v>1344</v>
      </c>
      <c r="C8" s="21">
        <v>74</v>
      </c>
      <c r="D8" s="21">
        <v>193</v>
      </c>
      <c r="E8" s="21">
        <v>438</v>
      </c>
      <c r="F8" s="21">
        <v>2461</v>
      </c>
      <c r="G8">
        <f>2129+763</f>
        <v>2892</v>
      </c>
      <c r="H8" s="106" t="s">
        <v>284</v>
      </c>
    </row>
    <row r="9" spans="1:15" ht="15" customHeight="1">
      <c r="A9" s="114" t="s">
        <v>15</v>
      </c>
      <c r="B9" s="21">
        <v>85</v>
      </c>
      <c r="C9" s="21">
        <v>-228</v>
      </c>
      <c r="D9" s="21">
        <v>570</v>
      </c>
      <c r="E9" s="21">
        <v>922</v>
      </c>
      <c r="F9" s="21">
        <v>-341</v>
      </c>
      <c r="G9">
        <f>155-178</f>
        <v>-23</v>
      </c>
      <c r="H9" s="106" t="s">
        <v>284</v>
      </c>
    </row>
    <row r="10" spans="1:15" ht="15" customHeight="1">
      <c r="A10" s="114" t="s">
        <v>12</v>
      </c>
      <c r="B10" s="21">
        <f>B11+B12</f>
        <v>-4</v>
      </c>
      <c r="C10" s="21">
        <f>C11+C12</f>
        <v>923</v>
      </c>
      <c r="D10" s="21">
        <v>434</v>
      </c>
      <c r="E10" s="21">
        <v>1014</v>
      </c>
      <c r="F10" s="21">
        <v>743</v>
      </c>
      <c r="G10">
        <f>G11+G12</f>
        <v>1922</v>
      </c>
      <c r="H10" s="106" t="s">
        <v>284</v>
      </c>
    </row>
    <row r="11" spans="1:15" ht="15" customHeight="1">
      <c r="A11" s="114" t="s">
        <v>14</v>
      </c>
      <c r="B11" s="4">
        <v>327</v>
      </c>
      <c r="C11" s="21">
        <v>724</v>
      </c>
      <c r="D11" s="21">
        <v>563</v>
      </c>
      <c r="E11" s="21">
        <v>1140</v>
      </c>
      <c r="F11" s="21">
        <v>956</v>
      </c>
      <c r="G11" s="21">
        <v>2209</v>
      </c>
      <c r="H11" s="106" t="s">
        <v>284</v>
      </c>
    </row>
    <row r="12" spans="1:15" ht="15" customHeight="1">
      <c r="A12" s="114" t="s">
        <v>15</v>
      </c>
      <c r="B12" s="21">
        <v>-331</v>
      </c>
      <c r="C12" s="21">
        <v>199</v>
      </c>
      <c r="D12" s="21">
        <v>-129</v>
      </c>
      <c r="E12" s="21">
        <v>-126</v>
      </c>
      <c r="F12" s="21">
        <v>-213</v>
      </c>
      <c r="G12" s="21">
        <v>-287</v>
      </c>
      <c r="H12" s="106" t="s">
        <v>284</v>
      </c>
    </row>
    <row r="13" spans="1:15" ht="15" customHeight="1">
      <c r="A13" s="114" t="s">
        <v>281</v>
      </c>
      <c r="B13" s="9"/>
      <c r="C13" s="9"/>
      <c r="D13" s="9"/>
      <c r="E13" s="9"/>
      <c r="F13" s="9"/>
      <c r="G13">
        <v>0</v>
      </c>
      <c r="H13">
        <v>2</v>
      </c>
    </row>
    <row r="14" spans="1:15" ht="15" customHeight="1">
      <c r="A14" s="114" t="s">
        <v>32</v>
      </c>
      <c r="B14" s="5">
        <v>341400</v>
      </c>
      <c r="C14" s="5">
        <v>566000</v>
      </c>
      <c r="D14" s="5">
        <v>647500</v>
      </c>
      <c r="E14" s="5">
        <v>798000</v>
      </c>
      <c r="F14" s="5">
        <v>1298000</v>
      </c>
      <c r="G14" s="5">
        <v>1608000</v>
      </c>
      <c r="H14" s="106" t="s">
        <v>475</v>
      </c>
    </row>
    <row r="15" spans="1:15" ht="15" customHeight="1"/>
    <row r="16" spans="1:15" ht="15" customHeight="1"/>
    <row r="17" spans="1:8" ht="15" customHeight="1">
      <c r="A17" s="114" t="s">
        <v>474</v>
      </c>
      <c r="F17">
        <f>29565/F2</f>
        <v>7.6580566952629617E-2</v>
      </c>
      <c r="G17">
        <f>37326/G2</f>
        <v>7.9447109756460951E-2</v>
      </c>
      <c r="H17" s="106" t="s">
        <v>285</v>
      </c>
    </row>
    <row r="18" spans="1:8" ht="15" customHeight="1">
      <c r="A18" s="105" t="s">
        <v>286</v>
      </c>
    </row>
    <row r="19" spans="1:8" ht="15" customHeight="1">
      <c r="A19" s="104" t="s">
        <v>5</v>
      </c>
      <c r="H19" s="106" t="s">
        <v>314</v>
      </c>
    </row>
    <row r="20" spans="1:8" ht="15" customHeight="1">
      <c r="A20" s="104" t="s">
        <v>23</v>
      </c>
    </row>
    <row r="21" spans="1:8" ht="15" customHeight="1">
      <c r="A21" s="104" t="s">
        <v>13</v>
      </c>
    </row>
    <row r="22" spans="1:8" ht="15" customHeight="1">
      <c r="A22" s="104" t="s">
        <v>14</v>
      </c>
    </row>
    <row r="23" spans="1:8" ht="15" customHeight="1">
      <c r="A23" s="104" t="s">
        <v>15</v>
      </c>
    </row>
    <row r="24" spans="1:8" ht="15" customHeight="1">
      <c r="A24" s="104" t="s">
        <v>21</v>
      </c>
    </row>
    <row r="25" spans="1:8" ht="15" customHeight="1">
      <c r="A25" s="113" t="s">
        <v>22</v>
      </c>
    </row>
    <row r="26" spans="1:8" ht="15" customHeight="1">
      <c r="A26" s="105" t="s">
        <v>18</v>
      </c>
      <c r="H26" s="106"/>
    </row>
    <row r="27" spans="1:8" ht="15" customHeight="1">
      <c r="A27" s="104" t="s">
        <v>5</v>
      </c>
      <c r="F27" s="4">
        <f>'Amazons Subs 2020'!F51</f>
        <v>4803898920</v>
      </c>
      <c r="G27">
        <f>F27*$G$2/$F$2/1000000</f>
        <v>5846.1224004109163</v>
      </c>
      <c r="H27" t="s">
        <v>312</v>
      </c>
    </row>
    <row r="28" spans="1:8" ht="15" customHeight="1">
      <c r="A28" s="104" t="s">
        <v>19</v>
      </c>
      <c r="F28" s="4">
        <f>'Amazons Subs 2020'!G51</f>
        <v>155512770</v>
      </c>
      <c r="G28">
        <f t="shared" ref="G28:G29" si="0">F28*$G$2/$F$2/1000000</f>
        <v>189.25183551675372</v>
      </c>
    </row>
    <row r="29" spans="1:8" ht="15" customHeight="1">
      <c r="A29" s="114" t="s">
        <v>20</v>
      </c>
      <c r="F29" s="4">
        <f>'Amazons Subs 2020'!M51*'Amazons Subs 2020'!G51</f>
        <v>48863750.543144271</v>
      </c>
      <c r="G29">
        <f t="shared" si="0"/>
        <v>59.464920343987338</v>
      </c>
    </row>
    <row r="30" spans="1:8" ht="15" customHeight="1">
      <c r="A30" s="104" t="s">
        <v>21</v>
      </c>
      <c r="F30" s="103">
        <f>F29/F28</f>
        <v>0.31421053424194212</v>
      </c>
      <c r="G30" s="103">
        <f>G29/G28</f>
        <v>0.31421053424194212</v>
      </c>
    </row>
    <row r="31" spans="1:8" ht="15" customHeight="1">
      <c r="A31" s="104" t="s">
        <v>22</v>
      </c>
      <c r="F31" s="4">
        <f>'Amazons Subs 2020'!K51</f>
        <v>29957</v>
      </c>
      <c r="G31">
        <f>F31*$G$2/$F$2</f>
        <v>36456.280963778023</v>
      </c>
    </row>
    <row r="32" spans="1:8" ht="15" customHeight="1"/>
    <row r="33" spans="8:9" ht="15" customHeight="1"/>
    <row r="34" spans="8:9" ht="33.9" customHeight="1"/>
    <row r="35" spans="8:9" ht="25.2" customHeight="1"/>
    <row r="36" spans="8:9" ht="15" customHeight="1"/>
    <row r="37" spans="8:9" ht="15" customHeight="1">
      <c r="H37" s="106"/>
      <c r="I37" s="11"/>
    </row>
    <row r="38" spans="8:9" ht="15" customHeight="1">
      <c r="H38" s="106"/>
      <c r="I38" s="11"/>
    </row>
    <row r="39" spans="8:9" ht="15" customHeight="1"/>
    <row r="40" spans="8:9" ht="15" customHeight="1"/>
    <row r="41" spans="8:9" ht="15" customHeight="1"/>
    <row r="42" spans="8:9" ht="15" customHeight="1"/>
    <row r="43" spans="8:9" ht="15" customHeight="1"/>
    <row r="44" spans="8:9" ht="15" customHeight="1"/>
    <row r="45" spans="8:9" ht="15" customHeight="1"/>
    <row r="46" spans="8:9" ht="15" customHeight="1"/>
    <row r="47" spans="8:9" ht="15" customHeight="1"/>
    <row r="48" spans="8:9"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spans="8:8" ht="15" customHeight="1"/>
    <row r="66" spans="8:8" ht="15" customHeight="1">
      <c r="H66" s="31"/>
    </row>
    <row r="67" spans="8:8" ht="53.7" customHeight="1"/>
    <row r="68" spans="8:8" ht="27.75" customHeight="1">
      <c r="H68" s="31"/>
    </row>
    <row r="69" spans="8:8" ht="15" customHeight="1"/>
    <row r="70" spans="8:8" ht="27.75" customHeight="1"/>
    <row r="71" spans="8:8" ht="15" customHeight="1"/>
    <row r="72" spans="8:8" ht="15" customHeight="1"/>
    <row r="73" spans="8:8" ht="15" customHeight="1"/>
    <row r="74" spans="8:8" ht="15" customHeight="1"/>
    <row r="75" spans="8:8" ht="15" customHeight="1"/>
    <row r="76" spans="8:8" ht="15" customHeight="1"/>
    <row r="77" spans="8:8" ht="15" customHeight="1"/>
    <row r="78" spans="8:8" ht="15" customHeight="1"/>
    <row r="79" spans="8:8" ht="15" customHeight="1"/>
    <row r="80" spans="8:8"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sheetData>
  <pageMargins left="0.78749999999999998" right="0.78749999999999998" top="1.05277777777778" bottom="1.05277777777778" header="0.78749999999999998" footer="0.78749999999999998"/>
  <pageSetup paperSize="9" firstPageNumber="0" orientation="portrait" horizontalDpi="300" verticalDpi="300"/>
  <headerFooter>
    <oddHeader>&amp;C&amp;"Times New Roman,Standard"&amp;12&amp;A</oddHeader>
    <oddFooter>&amp;C&amp;"Times New Roman,Standard"&amp;12Seite &amp;P</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4"/>
  <sheetViews>
    <sheetView topLeftCell="D1" zoomScale="70" zoomScaleNormal="70" workbookViewId="0">
      <pane ySplit="1" topLeftCell="A26" activePane="bottomLeft" state="frozen"/>
      <selection pane="bottomLeft" activeCell="M51" sqref="M51"/>
    </sheetView>
  </sheetViews>
  <sheetFormatPr baseColWidth="10" defaultRowHeight="14.4"/>
  <cols>
    <col min="1" max="1" width="44.109375" style="135" customWidth="1"/>
    <col min="2" max="2" width="20.33203125" style="135" customWidth="1"/>
    <col min="3" max="3" width="37.88671875" style="135" customWidth="1"/>
    <col min="4" max="4" width="9.33203125" style="135" customWidth="1"/>
    <col min="5" max="5" width="9.6640625" style="135" customWidth="1"/>
    <col min="6" max="6" width="22.109375" style="135" customWidth="1"/>
    <col min="7" max="7" width="22" style="202" customWidth="1"/>
    <col min="8" max="8" width="18.6640625" style="151" customWidth="1"/>
    <col min="9" max="9" width="23.5546875" style="135" bestFit="1" customWidth="1"/>
    <col min="10" max="10" width="22.5546875" style="135" customWidth="1"/>
    <col min="11" max="11" width="15.44140625" style="135" customWidth="1"/>
    <col min="12" max="12" width="30.6640625" style="135" bestFit="1" customWidth="1"/>
    <col min="13" max="13" width="16.88671875" style="135" customWidth="1"/>
    <col min="14" max="14" width="14.5546875" style="135" customWidth="1"/>
    <col min="15" max="15" width="37.109375" style="135" customWidth="1"/>
    <col min="16" max="16" width="33.44140625" style="135" customWidth="1"/>
    <col min="17" max="16384" width="11.5546875" style="135"/>
  </cols>
  <sheetData>
    <row r="1" spans="1:16" s="126" customFormat="1">
      <c r="A1" s="123" t="s">
        <v>328</v>
      </c>
      <c r="B1" s="123" t="s">
        <v>329</v>
      </c>
      <c r="C1" s="123" t="s">
        <v>330</v>
      </c>
      <c r="D1" s="123" t="s">
        <v>331</v>
      </c>
      <c r="E1" s="123" t="s">
        <v>332</v>
      </c>
      <c r="F1" s="123" t="s">
        <v>333</v>
      </c>
      <c r="G1" s="124" t="s">
        <v>334</v>
      </c>
      <c r="H1" s="125" t="s">
        <v>335</v>
      </c>
      <c r="I1" s="123" t="s">
        <v>336</v>
      </c>
      <c r="J1" s="123" t="s">
        <v>337</v>
      </c>
      <c r="K1" s="123" t="s">
        <v>338</v>
      </c>
      <c r="L1" s="123" t="s">
        <v>339</v>
      </c>
      <c r="M1" s="123" t="s">
        <v>340</v>
      </c>
      <c r="N1" s="123" t="s">
        <v>341</v>
      </c>
      <c r="O1" s="123" t="s">
        <v>342</v>
      </c>
      <c r="P1" s="123"/>
    </row>
    <row r="2" spans="1:16" s="126" customFormat="1">
      <c r="A2" s="123" t="s">
        <v>343</v>
      </c>
      <c r="B2" s="123"/>
      <c r="C2" s="123"/>
      <c r="D2" s="123"/>
      <c r="E2" s="123"/>
      <c r="F2" s="127">
        <f>SUM(F3:F29)</f>
        <v>4803898920</v>
      </c>
      <c r="G2" s="127">
        <f t="shared" ref="G2:L2" si="0">SUM(G3:G29)</f>
        <v>155512770</v>
      </c>
      <c r="H2" s="125">
        <f>AVERAGE(H3:H29)</f>
        <v>4.8085145031795271E-2</v>
      </c>
      <c r="I2" s="127">
        <f t="shared" si="0"/>
        <v>111925532</v>
      </c>
      <c r="J2" s="127">
        <f t="shared" si="0"/>
        <v>43587238</v>
      </c>
      <c r="K2" s="127">
        <f t="shared" si="0"/>
        <v>28534</v>
      </c>
      <c r="L2" s="127">
        <f t="shared" si="0"/>
        <v>322801214.44999999</v>
      </c>
      <c r="M2" s="128">
        <f>AVERAGE(M3:M29)</f>
        <v>0.31421053424194212</v>
      </c>
      <c r="N2" s="123"/>
      <c r="O2" s="123"/>
      <c r="P2" s="123"/>
    </row>
    <row r="3" spans="1:16">
      <c r="A3" s="129" t="s">
        <v>344</v>
      </c>
      <c r="B3" s="129" t="s">
        <v>345</v>
      </c>
      <c r="C3" s="129" t="s">
        <v>346</v>
      </c>
      <c r="D3" s="129"/>
      <c r="E3" s="129"/>
      <c r="F3" s="130">
        <v>62284159</v>
      </c>
      <c r="G3" s="131">
        <f t="shared" ref="G3:G24" si="1">I3+J3</f>
        <v>1311985</v>
      </c>
      <c r="H3" s="132">
        <f>G3/F3</f>
        <v>2.1064505342361612E-2</v>
      </c>
      <c r="I3" s="133">
        <v>844188</v>
      </c>
      <c r="J3" s="130">
        <v>467797</v>
      </c>
      <c r="K3" s="129">
        <v>143</v>
      </c>
      <c r="L3" s="134">
        <v>1568629.33</v>
      </c>
      <c r="M3" s="132">
        <f t="shared" ref="M3:M24" si="2">J3/G3</f>
        <v>0.3565566679497098</v>
      </c>
      <c r="N3" s="132"/>
      <c r="O3" s="129" t="s">
        <v>347</v>
      </c>
      <c r="P3" s="129"/>
    </row>
    <row r="4" spans="1:16">
      <c r="A4" s="129" t="s">
        <v>348</v>
      </c>
      <c r="B4" s="129" t="s">
        <v>349</v>
      </c>
      <c r="C4" s="129" t="s">
        <v>350</v>
      </c>
      <c r="D4" s="129"/>
      <c r="E4" s="129"/>
      <c r="F4" s="130">
        <v>191094658</v>
      </c>
      <c r="G4" s="131">
        <f t="shared" si="1"/>
        <v>16675039</v>
      </c>
      <c r="H4" s="132">
        <f t="shared" ref="H4:H67" si="3">G4/F4</f>
        <v>8.7260623475932012E-2</v>
      </c>
      <c r="I4" s="133">
        <v>11062121</v>
      </c>
      <c r="J4" s="130">
        <v>5612918</v>
      </c>
      <c r="K4" s="130">
        <v>1032</v>
      </c>
      <c r="L4" s="134">
        <v>31867790.760000002</v>
      </c>
      <c r="M4" s="132">
        <f t="shared" si="2"/>
        <v>0.33660598934731129</v>
      </c>
      <c r="N4" s="132"/>
      <c r="O4" s="129" t="s">
        <v>351</v>
      </c>
      <c r="P4" s="129"/>
    </row>
    <row r="5" spans="1:16">
      <c r="A5" s="129" t="s">
        <v>352</v>
      </c>
      <c r="B5" s="129" t="s">
        <v>345</v>
      </c>
      <c r="C5" s="129" t="s">
        <v>346</v>
      </c>
      <c r="D5" s="129"/>
      <c r="E5" s="129"/>
      <c r="F5" s="130">
        <v>1293999382</v>
      </c>
      <c r="G5" s="131">
        <f t="shared" si="1"/>
        <v>5829591</v>
      </c>
      <c r="H5" s="132">
        <f t="shared" si="3"/>
        <v>4.5050956600843264E-3</v>
      </c>
      <c r="I5" s="133">
        <v>3854055</v>
      </c>
      <c r="J5" s="130">
        <v>1975536</v>
      </c>
      <c r="K5" s="129">
        <v>259</v>
      </c>
      <c r="L5" s="134">
        <v>14789469.27</v>
      </c>
      <c r="M5" s="132">
        <f t="shared" si="2"/>
        <v>0.33888072079156156</v>
      </c>
      <c r="N5" s="132"/>
      <c r="O5" s="129" t="s">
        <v>353</v>
      </c>
      <c r="P5" s="129"/>
    </row>
    <row r="6" spans="1:16">
      <c r="A6" s="129" t="s">
        <v>354</v>
      </c>
      <c r="B6" s="129" t="s">
        <v>355</v>
      </c>
      <c r="C6" s="129" t="s">
        <v>346</v>
      </c>
      <c r="D6" s="129"/>
      <c r="E6" s="129"/>
      <c r="F6" s="130">
        <v>49512785</v>
      </c>
      <c r="G6" s="131">
        <f t="shared" si="1"/>
        <v>2436717</v>
      </c>
      <c r="H6" s="132">
        <f t="shared" si="3"/>
        <v>4.9213894956625849E-2</v>
      </c>
      <c r="I6" s="133">
        <v>1506101</v>
      </c>
      <c r="J6" s="130">
        <v>930616</v>
      </c>
      <c r="K6" s="129">
        <v>213</v>
      </c>
      <c r="L6" s="134">
        <v>2426247.7999999998</v>
      </c>
      <c r="M6" s="132">
        <f t="shared" si="2"/>
        <v>0.38191386197084026</v>
      </c>
      <c r="N6" s="132"/>
      <c r="O6" s="129" t="s">
        <v>347</v>
      </c>
      <c r="P6" s="129"/>
    </row>
    <row r="7" spans="1:16">
      <c r="A7" s="129" t="s">
        <v>356</v>
      </c>
      <c r="B7" s="129" t="s">
        <v>345</v>
      </c>
      <c r="C7" s="129" t="s">
        <v>346</v>
      </c>
      <c r="D7" s="129"/>
      <c r="E7" s="129"/>
      <c r="F7" s="130">
        <v>901803645</v>
      </c>
      <c r="G7" s="131">
        <f t="shared" si="1"/>
        <v>10452628</v>
      </c>
      <c r="H7" s="132">
        <f t="shared" si="3"/>
        <v>1.1590802563234262E-2</v>
      </c>
      <c r="I7" s="133">
        <v>9110106</v>
      </c>
      <c r="J7" s="130">
        <v>1342522</v>
      </c>
      <c r="K7" s="129">
        <v>90</v>
      </c>
      <c r="L7" s="133">
        <v>51015000</v>
      </c>
      <c r="M7" s="132">
        <f t="shared" si="2"/>
        <v>0.12843870460136914</v>
      </c>
      <c r="N7" s="132"/>
      <c r="O7" s="129" t="s">
        <v>357</v>
      </c>
      <c r="P7" s="129"/>
    </row>
    <row r="8" spans="1:16">
      <c r="A8" s="129" t="s">
        <v>358</v>
      </c>
      <c r="B8" s="129" t="s">
        <v>359</v>
      </c>
      <c r="C8" s="129" t="s">
        <v>346</v>
      </c>
      <c r="D8" s="129"/>
      <c r="E8" s="129"/>
      <c r="F8" s="130">
        <v>138888251</v>
      </c>
      <c r="G8" s="131">
        <f t="shared" si="1"/>
        <v>7307847</v>
      </c>
      <c r="H8" s="132">
        <f t="shared" si="3"/>
        <v>5.261674005816374E-2</v>
      </c>
      <c r="I8" s="133">
        <v>5039637</v>
      </c>
      <c r="J8" s="130">
        <v>2268210</v>
      </c>
      <c r="K8" s="130">
        <v>2106</v>
      </c>
      <c r="L8" s="134">
        <v>13223222.609999999</v>
      </c>
      <c r="M8" s="132">
        <f t="shared" si="2"/>
        <v>0.31038006132312296</v>
      </c>
      <c r="N8" s="132"/>
      <c r="O8" s="129" t="s">
        <v>347</v>
      </c>
      <c r="P8" s="129"/>
    </row>
    <row r="9" spans="1:16">
      <c r="A9" s="129" t="s">
        <v>360</v>
      </c>
      <c r="B9" s="129" t="s">
        <v>361</v>
      </c>
      <c r="C9" s="129" t="s">
        <v>346</v>
      </c>
      <c r="D9" s="129"/>
      <c r="E9" s="129"/>
      <c r="F9" s="130">
        <v>54475750</v>
      </c>
      <c r="G9" s="131">
        <f t="shared" si="1"/>
        <v>1419563</v>
      </c>
      <c r="H9" s="132">
        <f t="shared" si="3"/>
        <v>2.6058622414560608E-2</v>
      </c>
      <c r="I9" s="133">
        <v>908890</v>
      </c>
      <c r="J9" s="130">
        <v>510673</v>
      </c>
      <c r="K9" s="129">
        <v>161</v>
      </c>
      <c r="L9" s="134">
        <v>1377585.3</v>
      </c>
      <c r="M9" s="132">
        <f t="shared" si="2"/>
        <v>0.35973958182905585</v>
      </c>
      <c r="N9" s="132"/>
      <c r="O9" s="129" t="s">
        <v>347</v>
      </c>
      <c r="P9" s="129"/>
    </row>
    <row r="10" spans="1:16">
      <c r="A10" s="129" t="s">
        <v>362</v>
      </c>
      <c r="B10" s="129" t="s">
        <v>349</v>
      </c>
      <c r="C10" s="129" t="s">
        <v>346</v>
      </c>
      <c r="D10" s="129"/>
      <c r="E10" s="129"/>
      <c r="F10" s="130">
        <v>46868818</v>
      </c>
      <c r="G10" s="131">
        <f t="shared" si="1"/>
        <v>2233383</v>
      </c>
      <c r="H10" s="132">
        <f t="shared" si="3"/>
        <v>4.765178844493155E-2</v>
      </c>
      <c r="I10" s="133">
        <v>1562223</v>
      </c>
      <c r="J10" s="130">
        <v>671160</v>
      </c>
      <c r="K10" s="130">
        <v>1390</v>
      </c>
      <c r="L10" s="134">
        <v>4128606.28</v>
      </c>
      <c r="M10" s="132">
        <f t="shared" si="2"/>
        <v>0.30051271994100431</v>
      </c>
      <c r="N10" s="132"/>
      <c r="O10" s="129" t="s">
        <v>363</v>
      </c>
      <c r="P10" s="129"/>
    </row>
    <row r="11" spans="1:16">
      <c r="A11" s="129" t="s">
        <v>364</v>
      </c>
      <c r="B11" s="129" t="s">
        <v>345</v>
      </c>
      <c r="C11" s="129" t="s">
        <v>346</v>
      </c>
      <c r="D11" s="129"/>
      <c r="E11" s="129"/>
      <c r="F11" s="130">
        <v>57598515</v>
      </c>
      <c r="G11" s="131">
        <f t="shared" si="1"/>
        <v>1187498</v>
      </c>
      <c r="H11" s="132">
        <f t="shared" si="3"/>
        <v>2.0616816249516154E-2</v>
      </c>
      <c r="I11" s="133">
        <v>798233</v>
      </c>
      <c r="J11" s="130">
        <v>389265</v>
      </c>
      <c r="K11" s="129">
        <v>136</v>
      </c>
      <c r="L11" s="134">
        <v>1366844.85</v>
      </c>
      <c r="M11" s="132">
        <f t="shared" si="2"/>
        <v>0.32780265735184394</v>
      </c>
      <c r="N11" s="132"/>
      <c r="O11" s="129" t="s">
        <v>347</v>
      </c>
      <c r="P11" s="129"/>
    </row>
    <row r="12" spans="1:16">
      <c r="A12" s="129" t="s">
        <v>365</v>
      </c>
      <c r="B12" s="129" t="s">
        <v>345</v>
      </c>
      <c r="C12" s="129" t="s">
        <v>346</v>
      </c>
      <c r="D12" s="129"/>
      <c r="E12" s="129"/>
      <c r="F12" s="130">
        <v>50394495</v>
      </c>
      <c r="G12" s="131">
        <f t="shared" si="1"/>
        <v>1375229</v>
      </c>
      <c r="H12" s="132">
        <f t="shared" si="3"/>
        <v>2.7289270385584773E-2</v>
      </c>
      <c r="I12" s="133">
        <v>888509</v>
      </c>
      <c r="J12" s="130">
        <v>486720</v>
      </c>
      <c r="K12" s="130">
        <v>25</v>
      </c>
      <c r="L12" s="134">
        <v>1513884.89</v>
      </c>
      <c r="M12" s="132">
        <f t="shared" si="2"/>
        <v>0.35391923817778714</v>
      </c>
      <c r="N12" s="132"/>
      <c r="O12" s="129" t="s">
        <v>347</v>
      </c>
      <c r="P12" s="129"/>
    </row>
    <row r="13" spans="1:16">
      <c r="A13" s="129" t="s">
        <v>366</v>
      </c>
      <c r="B13" s="129" t="s">
        <v>349</v>
      </c>
      <c r="C13" s="129" t="s">
        <v>346</v>
      </c>
      <c r="D13" s="129"/>
      <c r="E13" s="129"/>
      <c r="F13" s="130">
        <v>29550306</v>
      </c>
      <c r="G13" s="131">
        <f t="shared" si="1"/>
        <v>1397112</v>
      </c>
      <c r="H13" s="132">
        <f t="shared" si="3"/>
        <v>4.7279104317904525E-2</v>
      </c>
      <c r="I13" s="133">
        <v>958573</v>
      </c>
      <c r="J13" s="130">
        <v>438539</v>
      </c>
      <c r="K13" s="129">
        <v>570</v>
      </c>
      <c r="L13" s="130">
        <v>6473000</v>
      </c>
      <c r="M13" s="132">
        <f t="shared" si="2"/>
        <v>0.31388965236860039</v>
      </c>
      <c r="N13" s="132"/>
      <c r="O13" s="129" t="s">
        <v>363</v>
      </c>
      <c r="P13" s="129"/>
    </row>
    <row r="14" spans="1:16">
      <c r="A14" s="129" t="s">
        <v>367</v>
      </c>
      <c r="B14" s="129" t="s">
        <v>345</v>
      </c>
      <c r="C14" s="129" t="s">
        <v>346</v>
      </c>
      <c r="D14" s="129"/>
      <c r="E14" s="129"/>
      <c r="F14" s="130">
        <v>50128122</v>
      </c>
      <c r="G14" s="131">
        <f t="shared" si="1"/>
        <v>928398</v>
      </c>
      <c r="H14" s="132">
        <f t="shared" si="3"/>
        <v>1.8520502324024826E-2</v>
      </c>
      <c r="I14" s="133">
        <v>637194</v>
      </c>
      <c r="J14" s="130">
        <v>291204</v>
      </c>
      <c r="K14" s="130">
        <v>126</v>
      </c>
      <c r="L14" s="134">
        <v>1248985.3500000001</v>
      </c>
      <c r="M14" s="132">
        <f t="shared" si="2"/>
        <v>0.31366289026904409</v>
      </c>
      <c r="N14" s="132"/>
      <c r="O14" s="129" t="s">
        <v>347</v>
      </c>
      <c r="P14" s="129"/>
    </row>
    <row r="15" spans="1:16">
      <c r="A15" s="129" t="s">
        <v>368</v>
      </c>
      <c r="B15" s="129" t="s">
        <v>345</v>
      </c>
      <c r="C15" s="129" t="s">
        <v>346</v>
      </c>
      <c r="D15" s="129"/>
      <c r="E15" s="129"/>
      <c r="F15" s="130">
        <v>404025668</v>
      </c>
      <c r="G15" s="131">
        <f t="shared" si="1"/>
        <v>9539457</v>
      </c>
      <c r="H15" s="132">
        <f t="shared" si="3"/>
        <v>2.3611017208936338E-2</v>
      </c>
      <c r="I15" s="133">
        <v>7896433</v>
      </c>
      <c r="J15" s="130">
        <v>1643024</v>
      </c>
      <c r="K15" s="129">
        <v>980</v>
      </c>
      <c r="L15" s="136"/>
      <c r="M15" s="132">
        <f t="shared" si="2"/>
        <v>0.1722345412322735</v>
      </c>
      <c r="N15" s="132"/>
      <c r="O15" s="129" t="s">
        <v>347</v>
      </c>
      <c r="P15" s="129"/>
    </row>
    <row r="16" spans="1:16">
      <c r="A16" s="129" t="s">
        <v>369</v>
      </c>
      <c r="B16" s="129" t="s">
        <v>370</v>
      </c>
      <c r="C16" s="129" t="s">
        <v>346</v>
      </c>
      <c r="D16" s="129"/>
      <c r="E16" s="129"/>
      <c r="F16" s="130">
        <v>34023957</v>
      </c>
      <c r="G16" s="131">
        <f t="shared" si="1"/>
        <v>1404509</v>
      </c>
      <c r="H16" s="132">
        <f t="shared" si="3"/>
        <v>4.1280001617683679E-2</v>
      </c>
      <c r="I16" s="133">
        <v>925350</v>
      </c>
      <c r="J16" s="130">
        <v>479159</v>
      </c>
      <c r="K16" s="130">
        <v>159</v>
      </c>
      <c r="L16" s="134">
        <v>1830682.02</v>
      </c>
      <c r="M16" s="132">
        <f t="shared" si="2"/>
        <v>0.34115765723110353</v>
      </c>
      <c r="N16" s="132"/>
      <c r="O16" s="129" t="s">
        <v>353</v>
      </c>
      <c r="P16" s="129"/>
    </row>
    <row r="17" spans="1:16">
      <c r="A17" s="129" t="s">
        <v>371</v>
      </c>
      <c r="B17" s="129" t="s">
        <v>372</v>
      </c>
      <c r="C17" s="129" t="s">
        <v>346</v>
      </c>
      <c r="D17" s="129"/>
      <c r="E17" s="129"/>
      <c r="F17" s="130">
        <v>58782468</v>
      </c>
      <c r="G17" s="131">
        <f t="shared" si="1"/>
        <v>2582467</v>
      </c>
      <c r="H17" s="132">
        <f t="shared" si="3"/>
        <v>4.3932605891947238E-2</v>
      </c>
      <c r="I17" s="133">
        <v>1739673</v>
      </c>
      <c r="J17" s="130">
        <v>842794</v>
      </c>
      <c r="K17" s="129">
        <v>261</v>
      </c>
      <c r="L17" s="134">
        <v>3746313.99</v>
      </c>
      <c r="M17" s="132">
        <f t="shared" si="2"/>
        <v>0.3263522825267467</v>
      </c>
      <c r="N17" s="132"/>
      <c r="O17" s="129" t="s">
        <v>347</v>
      </c>
      <c r="P17" s="129"/>
    </row>
    <row r="18" spans="1:16">
      <c r="A18" s="129" t="s">
        <v>373</v>
      </c>
      <c r="B18" s="129" t="s">
        <v>345</v>
      </c>
      <c r="C18" s="129" t="s">
        <v>346</v>
      </c>
      <c r="D18" s="129"/>
      <c r="E18" s="129"/>
      <c r="F18" s="130">
        <v>23134791</v>
      </c>
      <c r="G18" s="131">
        <f t="shared" si="1"/>
        <v>799952</v>
      </c>
      <c r="H18" s="132">
        <f t="shared" si="3"/>
        <v>3.4577878831928935E-2</v>
      </c>
      <c r="I18" s="133">
        <v>510654</v>
      </c>
      <c r="J18" s="130">
        <v>289298</v>
      </c>
      <c r="K18" s="130">
        <v>113</v>
      </c>
      <c r="L18" s="134">
        <v>1747505.06</v>
      </c>
      <c r="M18" s="132">
        <f t="shared" si="2"/>
        <v>0.3616441986519191</v>
      </c>
      <c r="N18" s="132"/>
      <c r="O18" s="129" t="s">
        <v>347</v>
      </c>
      <c r="P18" s="129"/>
    </row>
    <row r="19" spans="1:16">
      <c r="A19" s="129" t="s">
        <v>374</v>
      </c>
      <c r="B19" s="129" t="s">
        <v>361</v>
      </c>
      <c r="C19" s="129" t="s">
        <v>346</v>
      </c>
      <c r="D19" s="129"/>
      <c r="E19" s="129"/>
      <c r="F19" s="130">
        <v>126445250</v>
      </c>
      <c r="G19" s="131">
        <f t="shared" si="1"/>
        <v>5805199</v>
      </c>
      <c r="H19" s="132">
        <f t="shared" si="3"/>
        <v>4.5910771658089176E-2</v>
      </c>
      <c r="I19" s="133">
        <v>3799589</v>
      </c>
      <c r="J19" s="130">
        <v>2005610</v>
      </c>
      <c r="K19" s="130">
        <v>2153</v>
      </c>
      <c r="L19" s="134">
        <v>10180731.789999999</v>
      </c>
      <c r="M19" s="132">
        <f t="shared" si="2"/>
        <v>0.34548514185301832</v>
      </c>
      <c r="N19" s="132"/>
      <c r="O19" s="129" t="s">
        <v>347</v>
      </c>
      <c r="P19" s="129"/>
    </row>
    <row r="20" spans="1:16">
      <c r="A20" s="129" t="s">
        <v>375</v>
      </c>
      <c r="B20" s="129" t="s">
        <v>376</v>
      </c>
      <c r="C20" s="129" t="s">
        <v>346</v>
      </c>
      <c r="D20" s="129"/>
      <c r="E20" s="129"/>
      <c r="F20" s="130">
        <v>117551084</v>
      </c>
      <c r="G20" s="131">
        <f t="shared" si="1"/>
        <v>6844211</v>
      </c>
      <c r="H20" s="132">
        <f t="shared" si="3"/>
        <v>5.8223291245872305E-2</v>
      </c>
      <c r="I20" s="133">
        <v>4237545</v>
      </c>
      <c r="J20" s="130">
        <v>2606666</v>
      </c>
      <c r="K20" s="130">
        <v>1713</v>
      </c>
      <c r="L20" s="134">
        <v>22465741.899999999</v>
      </c>
      <c r="M20" s="132">
        <f t="shared" si="2"/>
        <v>0.38085704838731593</v>
      </c>
      <c r="N20" s="132"/>
      <c r="O20" s="129" t="s">
        <v>347</v>
      </c>
      <c r="P20" s="129"/>
    </row>
    <row r="21" spans="1:16">
      <c r="A21" s="129" t="s">
        <v>377</v>
      </c>
      <c r="B21" s="129" t="s">
        <v>376</v>
      </c>
      <c r="C21" s="129" t="s">
        <v>346</v>
      </c>
      <c r="D21" s="129"/>
      <c r="E21" s="129"/>
      <c r="F21" s="130">
        <v>121739062</v>
      </c>
      <c r="G21" s="131">
        <f t="shared" si="1"/>
        <v>5505760</v>
      </c>
      <c r="H21" s="132">
        <f t="shared" si="3"/>
        <v>4.5225911137708616E-2</v>
      </c>
      <c r="I21" s="133">
        <v>3588942</v>
      </c>
      <c r="J21" s="130">
        <v>1916818</v>
      </c>
      <c r="K21" s="133">
        <v>1826</v>
      </c>
      <c r="L21" s="133">
        <v>21597933.510000002</v>
      </c>
      <c r="M21" s="132">
        <f t="shared" si="2"/>
        <v>0.34814775798436548</v>
      </c>
      <c r="N21" s="132"/>
      <c r="O21" s="129" t="s">
        <v>347</v>
      </c>
      <c r="P21" s="129"/>
    </row>
    <row r="22" spans="1:16">
      <c r="A22" s="129" t="s">
        <v>378</v>
      </c>
      <c r="B22" s="129" t="s">
        <v>379</v>
      </c>
      <c r="C22" s="129" t="s">
        <v>346</v>
      </c>
      <c r="D22" s="129"/>
      <c r="E22" s="129"/>
      <c r="F22" s="130">
        <v>98159176</v>
      </c>
      <c r="G22" s="131">
        <f t="shared" si="1"/>
        <v>24388033</v>
      </c>
      <c r="H22" s="132">
        <f t="shared" si="3"/>
        <v>0.24845392956436391</v>
      </c>
      <c r="I22" s="133">
        <v>21412189</v>
      </c>
      <c r="J22" s="130">
        <v>2975844</v>
      </c>
      <c r="K22" s="130">
        <v>1657</v>
      </c>
      <c r="L22" s="134">
        <v>21412189.109999999</v>
      </c>
      <c r="M22" s="132">
        <f t="shared" si="2"/>
        <v>0.12202066480720278</v>
      </c>
      <c r="N22" s="132"/>
      <c r="O22" s="129" t="s">
        <v>353</v>
      </c>
      <c r="P22" s="129"/>
    </row>
    <row r="23" spans="1:16">
      <c r="A23" s="129" t="s">
        <v>380</v>
      </c>
      <c r="B23" s="129" t="s">
        <v>381</v>
      </c>
      <c r="C23" s="129" t="s">
        <v>346</v>
      </c>
      <c r="D23" s="129"/>
      <c r="E23" s="129"/>
      <c r="F23" s="130">
        <v>54298391</v>
      </c>
      <c r="G23" s="131">
        <f t="shared" si="1"/>
        <v>2526986</v>
      </c>
      <c r="H23" s="132">
        <f t="shared" si="3"/>
        <v>4.6538874420790848E-2</v>
      </c>
      <c r="I23" s="133">
        <v>1810914</v>
      </c>
      <c r="J23" s="130">
        <v>716072</v>
      </c>
      <c r="K23" s="130">
        <v>770</v>
      </c>
      <c r="L23" s="134">
        <v>10529763.140000001</v>
      </c>
      <c r="M23" s="132">
        <f t="shared" si="2"/>
        <v>0.28336999096947907</v>
      </c>
      <c r="N23" s="132"/>
      <c r="O23" s="129" t="s">
        <v>347</v>
      </c>
      <c r="P23" s="129"/>
    </row>
    <row r="24" spans="1:16">
      <c r="A24" s="129" t="s">
        <v>382</v>
      </c>
      <c r="B24" s="129" t="s">
        <v>383</v>
      </c>
      <c r="C24" s="129" t="s">
        <v>346</v>
      </c>
      <c r="D24" s="129"/>
      <c r="E24" s="129"/>
      <c r="F24" s="130">
        <v>95734016</v>
      </c>
      <c r="G24" s="131">
        <f t="shared" si="1"/>
        <v>3695515</v>
      </c>
      <c r="H24" s="132">
        <f t="shared" si="3"/>
        <v>3.8601900916806833E-2</v>
      </c>
      <c r="I24" s="133">
        <v>2418416</v>
      </c>
      <c r="J24" s="130">
        <v>1277099</v>
      </c>
      <c r="K24" s="130">
        <v>1654</v>
      </c>
      <c r="L24" s="134">
        <v>16077338.25</v>
      </c>
      <c r="M24" s="132">
        <f t="shared" si="2"/>
        <v>0.34558079185174462</v>
      </c>
      <c r="N24" s="132"/>
      <c r="O24" s="129" t="s">
        <v>347</v>
      </c>
      <c r="P24" s="129"/>
    </row>
    <row r="25" spans="1:16">
      <c r="A25" s="129" t="s">
        <v>384</v>
      </c>
      <c r="B25" s="129" t="s">
        <v>385</v>
      </c>
      <c r="C25" s="129" t="s">
        <v>346</v>
      </c>
      <c r="D25" s="129"/>
      <c r="E25" s="129"/>
      <c r="F25" s="130">
        <v>138629355</v>
      </c>
      <c r="G25" s="131">
        <f>I25+J25</f>
        <v>7249155</v>
      </c>
      <c r="H25" s="132">
        <f t="shared" si="3"/>
        <v>5.2291630441474682E-2</v>
      </c>
      <c r="I25" s="133">
        <v>4669411</v>
      </c>
      <c r="J25" s="130">
        <v>2579744</v>
      </c>
      <c r="K25" s="130">
        <v>2262</v>
      </c>
      <c r="L25" s="134">
        <v>6999486.7400000002</v>
      </c>
      <c r="M25" s="132">
        <f>J25/G25</f>
        <v>0.35586823567712372</v>
      </c>
      <c r="N25" s="132"/>
      <c r="O25" s="129" t="s">
        <v>347</v>
      </c>
      <c r="P25" s="129"/>
    </row>
    <row r="26" spans="1:16">
      <c r="A26" s="129" t="s">
        <v>386</v>
      </c>
      <c r="B26" s="129" t="s">
        <v>387</v>
      </c>
      <c r="C26" s="129" t="s">
        <v>346</v>
      </c>
      <c r="D26" s="129"/>
      <c r="E26" s="129"/>
      <c r="F26" s="130">
        <v>177101764</v>
      </c>
      <c r="G26" s="131">
        <f t="shared" ref="G26:G29" si="4">I26+J26</f>
        <v>9093437</v>
      </c>
      <c r="H26" s="132">
        <f t="shared" si="3"/>
        <v>5.1345829621437314E-2</v>
      </c>
      <c r="I26" s="133">
        <v>5948113</v>
      </c>
      <c r="J26" s="130">
        <v>3145324</v>
      </c>
      <c r="K26" s="130">
        <v>3386</v>
      </c>
      <c r="L26" s="134">
        <v>6332904.6500000004</v>
      </c>
      <c r="M26" s="132">
        <f t="shared" ref="M26:M29" si="5">J26/G26</f>
        <v>0.3458894585182698</v>
      </c>
      <c r="N26" s="132"/>
      <c r="O26" s="129" t="s">
        <v>347</v>
      </c>
      <c r="P26" s="129"/>
    </row>
    <row r="27" spans="1:16">
      <c r="A27" s="129" t="s">
        <v>388</v>
      </c>
      <c r="B27" s="129" t="s">
        <v>345</v>
      </c>
      <c r="C27" s="129" t="s">
        <v>389</v>
      </c>
      <c r="D27" s="129"/>
      <c r="E27" s="129"/>
      <c r="F27" s="130">
        <v>200534018</v>
      </c>
      <c r="G27" s="131">
        <f t="shared" si="4"/>
        <v>13753566</v>
      </c>
      <c r="H27" s="132">
        <f t="shared" si="3"/>
        <v>6.8584702671244543E-2</v>
      </c>
      <c r="I27" s="133">
        <v>8841052</v>
      </c>
      <c r="J27" s="130">
        <v>4912514</v>
      </c>
      <c r="K27" s="130">
        <v>1479</v>
      </c>
      <c r="L27" s="137">
        <v>16687465.66</v>
      </c>
      <c r="M27" s="132">
        <f t="shared" si="5"/>
        <v>0.35718111215665815</v>
      </c>
      <c r="N27" s="132"/>
      <c r="O27" s="129" t="s">
        <v>390</v>
      </c>
      <c r="P27" s="129"/>
    </row>
    <row r="28" spans="1:16">
      <c r="A28" s="129" t="s">
        <v>391</v>
      </c>
      <c r="B28" s="129" t="s">
        <v>392</v>
      </c>
      <c r="C28" s="129" t="s">
        <v>346</v>
      </c>
      <c r="D28" s="129"/>
      <c r="E28" s="129"/>
      <c r="F28" s="130">
        <v>112615826</v>
      </c>
      <c r="G28" s="131">
        <f t="shared" si="4"/>
        <v>5053565</v>
      </c>
      <c r="H28" s="132">
        <f t="shared" si="3"/>
        <v>4.4874376715045364E-2</v>
      </c>
      <c r="I28" s="133">
        <v>3592048</v>
      </c>
      <c r="J28" s="130">
        <v>1461517</v>
      </c>
      <c r="K28" s="130">
        <v>1895</v>
      </c>
      <c r="L28" s="133">
        <v>28308000</v>
      </c>
      <c r="M28" s="132">
        <f t="shared" si="5"/>
        <v>0.28920514527863006</v>
      </c>
      <c r="N28" s="132"/>
      <c r="O28" s="129" t="s">
        <v>393</v>
      </c>
      <c r="P28" s="129"/>
    </row>
    <row r="29" spans="1:16">
      <c r="A29" s="129" t="s">
        <v>394</v>
      </c>
      <c r="B29" s="129" t="s">
        <v>395</v>
      </c>
      <c r="C29" s="129" t="s">
        <v>346</v>
      </c>
      <c r="D29" s="129"/>
      <c r="E29" s="129"/>
      <c r="F29" s="130">
        <v>114525208</v>
      </c>
      <c r="G29" s="131">
        <f t="shared" si="4"/>
        <v>4715968</v>
      </c>
      <c r="H29" s="132">
        <f t="shared" si="3"/>
        <v>4.117842772221815E-2</v>
      </c>
      <c r="I29" s="133">
        <v>3365373</v>
      </c>
      <c r="J29" s="130">
        <v>1350595</v>
      </c>
      <c r="K29" s="130">
        <v>1975</v>
      </c>
      <c r="L29" s="134">
        <v>23885892.190000001</v>
      </c>
      <c r="M29" s="132">
        <f t="shared" si="5"/>
        <v>0.28638765148533663</v>
      </c>
      <c r="N29" s="132"/>
      <c r="O29" s="129" t="s">
        <v>393</v>
      </c>
      <c r="P29" s="129"/>
    </row>
    <row r="30" spans="1:16">
      <c r="A30" s="129" t="s">
        <v>396</v>
      </c>
      <c r="B30" s="129" t="s">
        <v>397</v>
      </c>
      <c r="C30" s="129" t="s">
        <v>346</v>
      </c>
      <c r="D30" s="129"/>
      <c r="E30" s="129"/>
      <c r="F30" s="129"/>
      <c r="G30" s="131"/>
      <c r="H30" s="132" t="e">
        <f t="shared" si="3"/>
        <v>#DIV/0!</v>
      </c>
      <c r="I30" s="133">
        <v>1056744</v>
      </c>
      <c r="J30" s="129"/>
      <c r="K30" s="129">
        <v>151</v>
      </c>
      <c r="L30" s="138" t="s">
        <v>398</v>
      </c>
      <c r="M30" s="132"/>
      <c r="N30" s="132"/>
      <c r="O30" s="129" t="s">
        <v>393</v>
      </c>
      <c r="P30" s="129"/>
    </row>
    <row r="31" spans="1:16">
      <c r="A31" s="129" t="s">
        <v>399</v>
      </c>
      <c r="B31" s="129" t="s">
        <v>345</v>
      </c>
      <c r="C31" s="129" t="s">
        <v>346</v>
      </c>
      <c r="D31" s="129"/>
      <c r="E31" s="129"/>
      <c r="F31" s="129"/>
      <c r="G31" s="131"/>
      <c r="H31" s="132" t="e">
        <f t="shared" si="3"/>
        <v>#DIV/0!</v>
      </c>
      <c r="I31" s="133">
        <v>523840</v>
      </c>
      <c r="J31" s="129"/>
      <c r="K31" s="129">
        <v>84</v>
      </c>
      <c r="L31" s="138" t="s">
        <v>400</v>
      </c>
      <c r="M31" s="132"/>
      <c r="N31" s="132"/>
      <c r="O31" s="129" t="s">
        <v>393</v>
      </c>
      <c r="P31" s="129"/>
    </row>
    <row r="32" spans="1:16">
      <c r="A32" s="129" t="s">
        <v>401</v>
      </c>
      <c r="B32" s="129" t="s">
        <v>345</v>
      </c>
      <c r="C32" s="129" t="s">
        <v>346</v>
      </c>
      <c r="D32" s="129"/>
      <c r="E32" s="129"/>
      <c r="F32" s="129"/>
      <c r="G32" s="131"/>
      <c r="H32" s="132" t="e">
        <f t="shared" si="3"/>
        <v>#DIV/0!</v>
      </c>
      <c r="I32" s="133">
        <v>292301</v>
      </c>
      <c r="J32" s="129"/>
      <c r="K32" s="129">
        <v>63</v>
      </c>
      <c r="L32" s="138" t="s">
        <v>402</v>
      </c>
      <c r="M32" s="132"/>
      <c r="N32" s="132"/>
      <c r="O32" s="129" t="s">
        <v>393</v>
      </c>
      <c r="P32" s="129"/>
    </row>
    <row r="33" spans="1:16">
      <c r="A33" s="129" t="s">
        <v>403</v>
      </c>
      <c r="B33" s="129" t="s">
        <v>404</v>
      </c>
      <c r="C33" s="129" t="s">
        <v>346</v>
      </c>
      <c r="D33" s="129"/>
      <c r="E33" s="129"/>
      <c r="F33" s="129"/>
      <c r="G33" s="131"/>
      <c r="H33" s="132" t="e">
        <f t="shared" si="3"/>
        <v>#DIV/0!</v>
      </c>
      <c r="I33" s="133">
        <v>1128196</v>
      </c>
      <c r="J33" s="129"/>
      <c r="K33" s="129">
        <v>71</v>
      </c>
      <c r="L33" s="138" t="s">
        <v>405</v>
      </c>
      <c r="M33" s="132"/>
      <c r="N33" s="132"/>
      <c r="O33" s="129" t="s">
        <v>393</v>
      </c>
      <c r="P33" s="129"/>
    </row>
    <row r="34" spans="1:16">
      <c r="A34" s="129" t="s">
        <v>406</v>
      </c>
      <c r="B34" s="129" t="s">
        <v>345</v>
      </c>
      <c r="C34" s="129" t="s">
        <v>346</v>
      </c>
      <c r="D34" s="129"/>
      <c r="E34" s="129"/>
      <c r="F34" s="129"/>
      <c r="G34" s="131"/>
      <c r="H34" s="132" t="e">
        <f t="shared" si="3"/>
        <v>#DIV/0!</v>
      </c>
      <c r="I34" s="133">
        <v>615628</v>
      </c>
      <c r="J34" s="129"/>
      <c r="K34" s="129">
        <v>73</v>
      </c>
      <c r="L34" s="138" t="s">
        <v>407</v>
      </c>
      <c r="M34" s="132"/>
      <c r="N34" s="132"/>
      <c r="O34" s="129" t="s">
        <v>393</v>
      </c>
      <c r="P34" s="129"/>
    </row>
    <row r="35" spans="1:16">
      <c r="A35" s="129" t="s">
        <v>408</v>
      </c>
      <c r="B35" s="129" t="s">
        <v>345</v>
      </c>
      <c r="C35" s="129" t="s">
        <v>346</v>
      </c>
      <c r="D35" s="129"/>
      <c r="E35" s="129"/>
      <c r="F35" s="129"/>
      <c r="G35" s="131"/>
      <c r="H35" s="132" t="e">
        <f t="shared" si="3"/>
        <v>#DIV/0!</v>
      </c>
      <c r="I35" s="133">
        <v>228666</v>
      </c>
      <c r="J35" s="129"/>
      <c r="K35" s="129">
        <v>31</v>
      </c>
      <c r="L35" s="138" t="s">
        <v>409</v>
      </c>
      <c r="M35" s="132"/>
      <c r="N35" s="132"/>
      <c r="O35" s="129" t="s">
        <v>393</v>
      </c>
      <c r="P35" s="129"/>
    </row>
    <row r="36" spans="1:16">
      <c r="A36" s="129" t="s">
        <v>410</v>
      </c>
      <c r="B36" s="129" t="s">
        <v>345</v>
      </c>
      <c r="C36" s="129" t="s">
        <v>346</v>
      </c>
      <c r="D36" s="129"/>
      <c r="E36" s="129"/>
      <c r="F36" s="129"/>
      <c r="G36" s="131"/>
      <c r="H36" s="132" t="e">
        <f t="shared" si="3"/>
        <v>#DIV/0!</v>
      </c>
      <c r="I36" s="133">
        <v>498872</v>
      </c>
      <c r="J36" s="129"/>
      <c r="K36" s="129">
        <v>62</v>
      </c>
      <c r="L36" s="138" t="s">
        <v>411</v>
      </c>
      <c r="M36" s="132"/>
      <c r="N36" s="132"/>
      <c r="O36" s="129" t="s">
        <v>393</v>
      </c>
      <c r="P36" s="129"/>
    </row>
    <row r="37" spans="1:16">
      <c r="A37" s="129" t="s">
        <v>412</v>
      </c>
      <c r="B37" s="129" t="s">
        <v>345</v>
      </c>
      <c r="C37" s="129" t="s">
        <v>346</v>
      </c>
      <c r="D37" s="129"/>
      <c r="E37" s="129"/>
      <c r="F37" s="129"/>
      <c r="G37" s="131"/>
      <c r="H37" s="132" t="e">
        <f t="shared" si="3"/>
        <v>#DIV/0!</v>
      </c>
      <c r="I37" s="133">
        <v>660140</v>
      </c>
      <c r="J37" s="129"/>
      <c r="K37" s="129">
        <v>82</v>
      </c>
      <c r="L37" s="138" t="s">
        <v>413</v>
      </c>
      <c r="M37" s="132"/>
      <c r="N37" s="132"/>
      <c r="O37" s="129" t="s">
        <v>393</v>
      </c>
      <c r="P37" s="129"/>
    </row>
    <row r="38" spans="1:16">
      <c r="A38" s="129" t="s">
        <v>414</v>
      </c>
      <c r="B38" s="129" t="s">
        <v>345</v>
      </c>
      <c r="C38" s="129" t="s">
        <v>346</v>
      </c>
      <c r="D38" s="129"/>
      <c r="E38" s="129"/>
      <c r="F38" s="129"/>
      <c r="G38" s="131"/>
      <c r="H38" s="132" t="e">
        <f t="shared" si="3"/>
        <v>#DIV/0!</v>
      </c>
      <c r="I38" s="133">
        <v>24503</v>
      </c>
      <c r="J38" s="129"/>
      <c r="K38" s="129">
        <v>1</v>
      </c>
      <c r="L38" s="138" t="s">
        <v>415</v>
      </c>
      <c r="M38" s="132"/>
      <c r="N38" s="132"/>
      <c r="O38" s="129" t="s">
        <v>393</v>
      </c>
      <c r="P38" s="129"/>
    </row>
    <row r="39" spans="1:16">
      <c r="A39" s="129" t="s">
        <v>416</v>
      </c>
      <c r="B39" s="129" t="s">
        <v>345</v>
      </c>
      <c r="C39" s="129" t="s">
        <v>346</v>
      </c>
      <c r="D39" s="129"/>
      <c r="E39" s="129"/>
      <c r="F39" s="129"/>
      <c r="G39" s="131"/>
      <c r="H39" s="132" t="e">
        <f t="shared" si="3"/>
        <v>#DIV/0!</v>
      </c>
      <c r="I39" s="133">
        <v>577324</v>
      </c>
      <c r="J39" s="129"/>
      <c r="K39" s="129">
        <v>81</v>
      </c>
      <c r="L39" s="138" t="s">
        <v>417</v>
      </c>
      <c r="M39" s="132"/>
      <c r="N39" s="132"/>
      <c r="O39" s="129" t="s">
        <v>393</v>
      </c>
      <c r="P39" s="129"/>
    </row>
    <row r="40" spans="1:16">
      <c r="A40" s="129" t="s">
        <v>418</v>
      </c>
      <c r="B40" s="129" t="s">
        <v>345</v>
      </c>
      <c r="C40" s="129" t="s">
        <v>346</v>
      </c>
      <c r="D40" s="129"/>
      <c r="E40" s="129"/>
      <c r="F40" s="129"/>
      <c r="G40" s="131"/>
      <c r="H40" s="132" t="e">
        <f t="shared" si="3"/>
        <v>#DIV/0!</v>
      </c>
      <c r="I40" s="133">
        <v>503538</v>
      </c>
      <c r="J40" s="129"/>
      <c r="K40" s="129">
        <v>77</v>
      </c>
      <c r="L40" s="138" t="s">
        <v>419</v>
      </c>
      <c r="M40" s="132"/>
      <c r="N40" s="132"/>
      <c r="O40" s="129" t="s">
        <v>393</v>
      </c>
      <c r="P40" s="129"/>
    </row>
    <row r="41" spans="1:16">
      <c r="A41" s="129" t="s">
        <v>420</v>
      </c>
      <c r="B41" s="129" t="s">
        <v>345</v>
      </c>
      <c r="C41" s="129" t="s">
        <v>346</v>
      </c>
      <c r="D41" s="129"/>
      <c r="E41" s="129"/>
      <c r="F41" s="129"/>
      <c r="G41" s="131"/>
      <c r="H41" s="132" t="e">
        <f t="shared" si="3"/>
        <v>#DIV/0!</v>
      </c>
      <c r="I41" s="133">
        <v>553735</v>
      </c>
      <c r="J41" s="129"/>
      <c r="K41" s="129">
        <v>66</v>
      </c>
      <c r="L41" s="138" t="s">
        <v>421</v>
      </c>
      <c r="M41" s="132"/>
      <c r="N41" s="132"/>
      <c r="O41" s="129" t="s">
        <v>393</v>
      </c>
      <c r="P41" s="129"/>
    </row>
    <row r="42" spans="1:16">
      <c r="A42" s="129" t="s">
        <v>422</v>
      </c>
      <c r="B42" s="129" t="s">
        <v>345</v>
      </c>
      <c r="C42" s="129" t="s">
        <v>346</v>
      </c>
      <c r="D42" s="129"/>
      <c r="E42" s="129"/>
      <c r="F42" s="129"/>
      <c r="G42" s="131"/>
      <c r="H42" s="132" t="e">
        <f t="shared" si="3"/>
        <v>#DIV/0!</v>
      </c>
      <c r="I42" s="133">
        <v>351071</v>
      </c>
      <c r="J42" s="129"/>
      <c r="K42" s="129">
        <v>66</v>
      </c>
      <c r="L42" s="138" t="s">
        <v>423</v>
      </c>
      <c r="M42" s="132"/>
      <c r="N42" s="132"/>
      <c r="O42" s="129" t="s">
        <v>393</v>
      </c>
      <c r="P42" s="129"/>
    </row>
    <row r="43" spans="1:16">
      <c r="A43" s="129" t="s">
        <v>424</v>
      </c>
      <c r="B43" s="129" t="s">
        <v>345</v>
      </c>
      <c r="C43" s="129" t="s">
        <v>346</v>
      </c>
      <c r="D43" s="129"/>
      <c r="E43" s="129"/>
      <c r="F43" s="129"/>
      <c r="G43" s="131"/>
      <c r="H43" s="132" t="e">
        <f t="shared" si="3"/>
        <v>#DIV/0!</v>
      </c>
      <c r="I43" s="133">
        <v>397681</v>
      </c>
      <c r="J43" s="129"/>
      <c r="K43" s="129">
        <v>61</v>
      </c>
      <c r="L43" s="138" t="s">
        <v>425</v>
      </c>
      <c r="M43" s="132"/>
      <c r="N43" s="132"/>
      <c r="O43" s="129" t="s">
        <v>393</v>
      </c>
      <c r="P43" s="129"/>
    </row>
    <row r="44" spans="1:16">
      <c r="A44" s="129" t="s">
        <v>426</v>
      </c>
      <c r="B44" s="129" t="s">
        <v>427</v>
      </c>
      <c r="C44" s="129" t="s">
        <v>346</v>
      </c>
      <c r="D44" s="129"/>
      <c r="E44" s="129"/>
      <c r="F44" s="129"/>
      <c r="G44" s="131"/>
      <c r="H44" s="132" t="e">
        <f t="shared" si="3"/>
        <v>#DIV/0!</v>
      </c>
      <c r="I44" s="133">
        <v>1224599</v>
      </c>
      <c r="J44" s="129"/>
      <c r="K44" s="129">
        <v>144</v>
      </c>
      <c r="L44" s="138" t="s">
        <v>428</v>
      </c>
      <c r="M44" s="132"/>
      <c r="N44" s="132"/>
      <c r="O44" s="129" t="s">
        <v>393</v>
      </c>
      <c r="P44" s="129"/>
    </row>
    <row r="45" spans="1:16">
      <c r="A45" s="129" t="s">
        <v>429</v>
      </c>
      <c r="B45" s="129" t="s">
        <v>345</v>
      </c>
      <c r="C45" s="129" t="s">
        <v>346</v>
      </c>
      <c r="D45" s="129"/>
      <c r="E45" s="129"/>
      <c r="F45" s="129"/>
      <c r="G45" s="131"/>
      <c r="H45" s="132" t="e">
        <f t="shared" si="3"/>
        <v>#DIV/0!</v>
      </c>
      <c r="I45" s="133">
        <v>910751</v>
      </c>
      <c r="J45" s="129"/>
      <c r="K45" s="129">
        <v>56</v>
      </c>
      <c r="L45" s="138" t="s">
        <v>430</v>
      </c>
      <c r="M45" s="132"/>
      <c r="N45" s="132"/>
      <c r="O45" s="129" t="s">
        <v>393</v>
      </c>
      <c r="P45" s="129"/>
    </row>
    <row r="46" spans="1:16">
      <c r="A46" s="129" t="s">
        <v>431</v>
      </c>
      <c r="B46" s="129" t="s">
        <v>345</v>
      </c>
      <c r="C46" s="129" t="s">
        <v>346</v>
      </c>
      <c r="D46" s="129"/>
      <c r="E46" s="129"/>
      <c r="F46" s="129"/>
      <c r="G46" s="131"/>
      <c r="H46" s="132" t="e">
        <f t="shared" si="3"/>
        <v>#DIV/0!</v>
      </c>
      <c r="I46" s="133">
        <v>446203</v>
      </c>
      <c r="J46" s="129"/>
      <c r="K46" s="129">
        <v>44</v>
      </c>
      <c r="L46" s="138" t="s">
        <v>432</v>
      </c>
      <c r="M46" s="132"/>
      <c r="N46" s="132"/>
      <c r="O46" s="129" t="s">
        <v>393</v>
      </c>
      <c r="P46" s="129"/>
    </row>
    <row r="47" spans="1:16">
      <c r="A47" s="129" t="s">
        <v>433</v>
      </c>
      <c r="B47" s="129" t="s">
        <v>345</v>
      </c>
      <c r="C47" s="129" t="s">
        <v>346</v>
      </c>
      <c r="D47" s="129"/>
      <c r="E47" s="129"/>
      <c r="F47" s="129"/>
      <c r="G47" s="131"/>
      <c r="H47" s="132" t="e">
        <f t="shared" si="3"/>
        <v>#DIV/0!</v>
      </c>
      <c r="I47" s="133">
        <v>376463</v>
      </c>
      <c r="J47" s="129"/>
      <c r="K47" s="129">
        <v>47</v>
      </c>
      <c r="L47" s="138" t="s">
        <v>434</v>
      </c>
      <c r="M47" s="132"/>
      <c r="N47" s="132"/>
      <c r="O47" s="129" t="s">
        <v>393</v>
      </c>
      <c r="P47" s="129"/>
    </row>
    <row r="48" spans="1:16">
      <c r="A48" s="129" t="s">
        <v>435</v>
      </c>
      <c r="B48" s="129" t="s">
        <v>345</v>
      </c>
      <c r="C48" s="129" t="s">
        <v>346</v>
      </c>
      <c r="D48" s="129"/>
      <c r="E48" s="129"/>
      <c r="F48" s="129"/>
      <c r="G48" s="131"/>
      <c r="H48" s="132" t="e">
        <f t="shared" si="3"/>
        <v>#DIV/0!</v>
      </c>
      <c r="I48" s="133">
        <v>535083</v>
      </c>
      <c r="J48" s="129"/>
      <c r="K48" s="129">
        <v>77</v>
      </c>
      <c r="L48" s="138" t="s">
        <v>436</v>
      </c>
      <c r="M48" s="132"/>
      <c r="N48" s="132"/>
      <c r="O48" s="129" t="s">
        <v>393</v>
      </c>
      <c r="P48" s="129"/>
    </row>
    <row r="49" spans="1:16">
      <c r="A49" s="129" t="s">
        <v>437</v>
      </c>
      <c r="B49" s="129" t="s">
        <v>345</v>
      </c>
      <c r="C49" s="129" t="s">
        <v>346</v>
      </c>
      <c r="D49" s="129"/>
      <c r="E49" s="129"/>
      <c r="F49" s="129"/>
      <c r="G49" s="131"/>
      <c r="H49" s="132" t="e">
        <f t="shared" si="3"/>
        <v>#DIV/0!</v>
      </c>
      <c r="I49" s="133">
        <v>351144</v>
      </c>
      <c r="J49" s="129"/>
      <c r="K49" s="129">
        <v>58</v>
      </c>
      <c r="L49" s="138" t="s">
        <v>438</v>
      </c>
      <c r="M49" s="132"/>
      <c r="N49" s="132"/>
      <c r="O49" s="129" t="s">
        <v>393</v>
      </c>
      <c r="P49" s="129"/>
    </row>
    <row r="50" spans="1:16">
      <c r="A50" s="129" t="s">
        <v>439</v>
      </c>
      <c r="B50" s="129" t="s">
        <v>345</v>
      </c>
      <c r="C50" s="129" t="s">
        <v>346</v>
      </c>
      <c r="D50" s="129"/>
      <c r="E50" s="129"/>
      <c r="F50" s="129"/>
      <c r="G50" s="131"/>
      <c r="H50" s="132" t="e">
        <f t="shared" si="3"/>
        <v>#DIV/0!</v>
      </c>
      <c r="I50" s="133">
        <v>176730</v>
      </c>
      <c r="J50" s="129"/>
      <c r="K50" s="129">
        <v>28</v>
      </c>
      <c r="L50" s="134">
        <v>660338.13</v>
      </c>
      <c r="M50" s="132"/>
      <c r="N50" s="132"/>
      <c r="O50" s="129" t="s">
        <v>393</v>
      </c>
      <c r="P50" s="129"/>
    </row>
    <row r="51" spans="1:16" s="139" customFormat="1">
      <c r="A51" s="139" t="s">
        <v>440</v>
      </c>
      <c r="F51" s="140">
        <f>SUM(F3:F50)</f>
        <v>4803898920</v>
      </c>
      <c r="G51" s="140">
        <f>SUM(G3:G50)</f>
        <v>155512770</v>
      </c>
      <c r="H51" s="141" t="e">
        <f>AVERAGE(H3:H50)</f>
        <v>#DIV/0!</v>
      </c>
      <c r="I51" s="140">
        <f>SUM(I3:I50)</f>
        <v>123358744</v>
      </c>
      <c r="J51" s="140">
        <f>SUM(J3:J50)</f>
        <v>43587238</v>
      </c>
      <c r="K51" s="140">
        <f>SUM(K3:K50)</f>
        <v>29957</v>
      </c>
      <c r="L51" s="140">
        <f>SUM(L3:L50)</f>
        <v>323461552.57999998</v>
      </c>
      <c r="M51" s="142">
        <f>AVERAGE(M3:M50)</f>
        <v>0.31421053424194212</v>
      </c>
    </row>
    <row r="52" spans="1:16" s="143" customFormat="1">
      <c r="A52" s="143" t="s">
        <v>441</v>
      </c>
      <c r="B52" s="143" t="s">
        <v>442</v>
      </c>
      <c r="D52" s="143" t="s">
        <v>443</v>
      </c>
      <c r="F52" s="144"/>
      <c r="G52" s="144"/>
      <c r="H52" s="145"/>
      <c r="I52" s="144">
        <v>-48644</v>
      </c>
      <c r="J52" s="144"/>
      <c r="K52" s="144">
        <v>0</v>
      </c>
      <c r="L52" s="144"/>
      <c r="M52" s="146"/>
      <c r="O52" s="147" t="s">
        <v>444</v>
      </c>
    </row>
    <row r="53" spans="1:16">
      <c r="A53" s="148" t="s">
        <v>445</v>
      </c>
      <c r="B53" s="129" t="s">
        <v>442</v>
      </c>
      <c r="C53" s="135" t="s">
        <v>446</v>
      </c>
      <c r="D53" s="135" t="s">
        <v>443</v>
      </c>
      <c r="F53" s="149"/>
      <c r="G53" s="150"/>
      <c r="H53" s="151" t="e">
        <f t="shared" si="3"/>
        <v>#DIV/0!</v>
      </c>
      <c r="I53" s="134">
        <v>-6197</v>
      </c>
      <c r="J53" s="149"/>
      <c r="K53" s="152">
        <v>10</v>
      </c>
      <c r="L53" s="152">
        <v>689271</v>
      </c>
      <c r="N53" s="149"/>
      <c r="O53" s="135" t="s">
        <v>447</v>
      </c>
    </row>
    <row r="54" spans="1:16">
      <c r="A54" s="153" t="s">
        <v>448</v>
      </c>
      <c r="B54" s="129" t="s">
        <v>442</v>
      </c>
      <c r="C54" s="135" t="s">
        <v>446</v>
      </c>
      <c r="D54" s="135" t="s">
        <v>443</v>
      </c>
      <c r="F54" s="152">
        <v>285273540</v>
      </c>
      <c r="G54" s="150">
        <f t="shared" ref="G54" si="6">I54+J54</f>
        <v>12392048</v>
      </c>
      <c r="H54" s="151">
        <f t="shared" si="3"/>
        <v>4.3439177709927113E-2</v>
      </c>
      <c r="I54" s="152">
        <v>9142078</v>
      </c>
      <c r="J54" s="152">
        <v>3249970</v>
      </c>
      <c r="K54" s="152">
        <v>88</v>
      </c>
      <c r="L54" s="152">
        <v>22799205</v>
      </c>
      <c r="M54" s="154">
        <f t="shared" ref="M54" si="7">J54/G54</f>
        <v>0.26226254126840048</v>
      </c>
      <c r="N54" s="155"/>
      <c r="O54" s="135" t="s">
        <v>449</v>
      </c>
    </row>
    <row r="55" spans="1:16">
      <c r="A55" s="148" t="s">
        <v>450</v>
      </c>
      <c r="B55" s="129" t="s">
        <v>442</v>
      </c>
      <c r="C55" s="135" t="s">
        <v>446</v>
      </c>
      <c r="D55" s="135" t="s">
        <v>443</v>
      </c>
      <c r="E55" s="135">
        <v>0</v>
      </c>
      <c r="F55" s="156"/>
      <c r="G55" s="150"/>
      <c r="H55" s="151" t="e">
        <f t="shared" si="3"/>
        <v>#DIV/0!</v>
      </c>
      <c r="I55" s="137">
        <v>-104479743</v>
      </c>
      <c r="J55" s="157"/>
      <c r="K55" s="152">
        <v>6</v>
      </c>
      <c r="L55" s="152">
        <v>-107256501</v>
      </c>
      <c r="M55" s="154"/>
      <c r="N55" s="155"/>
      <c r="O55" s="135" t="s">
        <v>451</v>
      </c>
    </row>
    <row r="56" spans="1:16" s="159" customFormat="1">
      <c r="A56" s="158" t="s">
        <v>452</v>
      </c>
      <c r="F56" s="160"/>
      <c r="G56" s="161"/>
      <c r="H56" s="162" t="e">
        <f t="shared" si="3"/>
        <v>#DIV/0!</v>
      </c>
      <c r="I56" s="160"/>
      <c r="J56" s="160"/>
      <c r="K56" s="163"/>
      <c r="L56" s="163"/>
      <c r="M56" s="164"/>
      <c r="N56" s="165"/>
    </row>
    <row r="57" spans="1:16" s="159" customFormat="1">
      <c r="A57" s="158" t="s">
        <v>453</v>
      </c>
      <c r="F57" s="163"/>
      <c r="G57" s="161"/>
      <c r="H57" s="162" t="e">
        <f t="shared" si="3"/>
        <v>#DIV/0!</v>
      </c>
      <c r="I57" s="163"/>
      <c r="J57" s="163"/>
      <c r="K57" s="163"/>
      <c r="L57" s="163"/>
      <c r="M57" s="164"/>
      <c r="N57" s="165"/>
    </row>
    <row r="58" spans="1:16">
      <c r="A58" s="153" t="s">
        <v>454</v>
      </c>
      <c r="B58" s="129" t="s">
        <v>442</v>
      </c>
      <c r="C58" s="135" t="s">
        <v>446</v>
      </c>
      <c r="D58" s="135" t="s">
        <v>443</v>
      </c>
      <c r="F58" s="156">
        <v>6051559138</v>
      </c>
      <c r="G58" s="150">
        <f t="shared" ref="G58:G59" si="8">I58+J58</f>
        <v>172637110</v>
      </c>
      <c r="H58" s="151">
        <f t="shared" si="3"/>
        <v>2.8527707663955081E-2</v>
      </c>
      <c r="I58" s="166">
        <v>137027186</v>
      </c>
      <c r="J58" s="156">
        <v>35609924</v>
      </c>
      <c r="K58" s="152">
        <v>5862</v>
      </c>
      <c r="L58" s="152">
        <v>263861971</v>
      </c>
      <c r="M58" s="154">
        <f t="shared" ref="M58" si="9">J58/G58</f>
        <v>0.20627038995265851</v>
      </c>
      <c r="N58" s="155"/>
      <c r="O58" s="135" t="s">
        <v>455</v>
      </c>
    </row>
    <row r="59" spans="1:16">
      <c r="A59" s="153" t="s">
        <v>456</v>
      </c>
      <c r="B59" s="129" t="s">
        <v>442</v>
      </c>
      <c r="C59" s="135" t="s">
        <v>446</v>
      </c>
      <c r="D59" s="135" t="s">
        <v>443</v>
      </c>
      <c r="F59" s="156">
        <v>43840283811</v>
      </c>
      <c r="G59" s="150">
        <f t="shared" si="8"/>
        <v>-1221167146</v>
      </c>
      <c r="H59" s="151">
        <f t="shared" si="3"/>
        <v>-2.7854909682258854E-2</v>
      </c>
      <c r="I59" s="157">
        <v>-1164781107</v>
      </c>
      <c r="J59" s="167">
        <v>-56386039</v>
      </c>
      <c r="K59" s="152">
        <v>5262</v>
      </c>
      <c r="L59" s="152">
        <v>-2706762875</v>
      </c>
      <c r="M59" s="168"/>
      <c r="N59" s="155"/>
      <c r="O59" s="135" t="s">
        <v>457</v>
      </c>
    </row>
    <row r="60" spans="1:16" s="159" customFormat="1">
      <c r="A60" s="158" t="s">
        <v>458</v>
      </c>
      <c r="F60" s="160"/>
      <c r="G60" s="161"/>
      <c r="H60" s="162" t="e">
        <f t="shared" si="3"/>
        <v>#DIV/0!</v>
      </c>
      <c r="I60" s="169"/>
      <c r="J60" s="160"/>
      <c r="K60" s="163"/>
      <c r="L60" s="163"/>
      <c r="M60" s="164"/>
      <c r="N60" s="165"/>
    </row>
    <row r="61" spans="1:16" s="159" customFormat="1">
      <c r="A61" s="158" t="s">
        <v>459</v>
      </c>
      <c r="F61" s="170"/>
      <c r="G61" s="161"/>
      <c r="H61" s="162" t="e">
        <f t="shared" si="3"/>
        <v>#DIV/0!</v>
      </c>
      <c r="I61" s="170"/>
      <c r="J61" s="170"/>
      <c r="K61" s="163"/>
      <c r="L61" s="163"/>
      <c r="N61" s="170"/>
    </row>
    <row r="62" spans="1:16">
      <c r="A62" s="153" t="s">
        <v>460</v>
      </c>
      <c r="B62" s="129" t="s">
        <v>442</v>
      </c>
      <c r="C62" s="135" t="s">
        <v>446</v>
      </c>
      <c r="F62" s="149"/>
      <c r="G62" s="150"/>
      <c r="H62" s="151" t="e">
        <f t="shared" si="3"/>
        <v>#DIV/0!</v>
      </c>
      <c r="I62" s="156">
        <v>-3943493</v>
      </c>
      <c r="J62" s="149"/>
      <c r="K62" s="152"/>
      <c r="L62" s="152">
        <v>9327368</v>
      </c>
      <c r="N62" s="149"/>
      <c r="O62" s="135" t="s">
        <v>461</v>
      </c>
    </row>
    <row r="63" spans="1:16">
      <c r="A63" s="153" t="s">
        <v>346</v>
      </c>
      <c r="B63" s="129" t="s">
        <v>442</v>
      </c>
      <c r="C63" s="135" t="s">
        <v>446</v>
      </c>
      <c r="D63" s="135" t="s">
        <v>443</v>
      </c>
      <c r="E63" s="135">
        <v>1482150</v>
      </c>
      <c r="F63" s="156">
        <v>10296104327</v>
      </c>
      <c r="G63" s="150">
        <f t="shared" ref="G63:G68" si="10">I63+J63</f>
        <v>2230233051</v>
      </c>
      <c r="H63" s="151">
        <f t="shared" si="3"/>
        <v>0.21660940683667571</v>
      </c>
      <c r="I63" s="156">
        <v>2208960160</v>
      </c>
      <c r="J63" s="156">
        <v>21272891</v>
      </c>
      <c r="K63" s="152">
        <v>820</v>
      </c>
      <c r="L63" s="152">
        <v>3745908223</v>
      </c>
      <c r="M63" s="154">
        <f>J63/G63</f>
        <v>9.538416171557311E-3</v>
      </c>
      <c r="N63" s="171" t="s">
        <v>462</v>
      </c>
      <c r="O63" s="135" t="s">
        <v>463</v>
      </c>
    </row>
    <row r="64" spans="1:16" s="180" customFormat="1">
      <c r="A64" s="172" t="s">
        <v>464</v>
      </c>
      <c r="B64" s="173" t="s">
        <v>442</v>
      </c>
      <c r="C64" s="135" t="s">
        <v>446</v>
      </c>
      <c r="D64" s="135" t="s">
        <v>443</v>
      </c>
      <c r="E64" s="135"/>
      <c r="F64" s="174">
        <v>742778993</v>
      </c>
      <c r="G64" s="175">
        <f t="shared" si="10"/>
        <v>76070083</v>
      </c>
      <c r="H64" s="176">
        <f t="shared" si="3"/>
        <v>0.10241280881243231</v>
      </c>
      <c r="I64" s="174">
        <v>56571332</v>
      </c>
      <c r="J64" s="174">
        <v>19498751</v>
      </c>
      <c r="K64" s="177">
        <v>43</v>
      </c>
      <c r="L64" s="177">
        <v>120607918</v>
      </c>
      <c r="M64" s="178">
        <f t="shared" ref="M64" si="11">J64/G64</f>
        <v>0.25632614335388593</v>
      </c>
      <c r="N64" s="179"/>
      <c r="O64" s="180" t="s">
        <v>465</v>
      </c>
    </row>
    <row r="65" spans="1:16" s="182" customFormat="1">
      <c r="A65" s="181" t="s">
        <v>466</v>
      </c>
      <c r="F65" s="183"/>
      <c r="G65" s="184">
        <f t="shared" si="10"/>
        <v>0</v>
      </c>
      <c r="H65" s="185" t="e">
        <f t="shared" si="3"/>
        <v>#DIV/0!</v>
      </c>
      <c r="I65" s="186"/>
      <c r="J65" s="183"/>
      <c r="L65" s="187"/>
      <c r="M65" s="188"/>
      <c r="N65" s="189"/>
    </row>
    <row r="66" spans="1:16" s="180" customFormat="1">
      <c r="A66" s="172" t="s">
        <v>467</v>
      </c>
      <c r="B66" s="173" t="s">
        <v>442</v>
      </c>
      <c r="C66" s="135" t="s">
        <v>446</v>
      </c>
      <c r="D66" s="135" t="s">
        <v>443</v>
      </c>
      <c r="E66" s="135">
        <v>0</v>
      </c>
      <c r="F66" s="174">
        <v>17716310266</v>
      </c>
      <c r="G66" s="175">
        <f t="shared" si="10"/>
        <v>530920994</v>
      </c>
      <c r="H66" s="176">
        <f t="shared" si="3"/>
        <v>2.9967921425428482E-2</v>
      </c>
      <c r="I66" s="190">
        <v>415986970</v>
      </c>
      <c r="J66" s="174">
        <v>114934024</v>
      </c>
      <c r="K66" s="173">
        <v>304</v>
      </c>
      <c r="L66" s="177">
        <v>572440937</v>
      </c>
      <c r="M66" s="178">
        <f t="shared" ref="M66" si="12">J66/G66</f>
        <v>0.21648046564156023</v>
      </c>
      <c r="N66" s="179"/>
      <c r="O66" s="180" t="s">
        <v>468</v>
      </c>
    </row>
    <row r="67" spans="1:16" s="182" customFormat="1">
      <c r="A67" s="181" t="s">
        <v>469</v>
      </c>
      <c r="F67" s="183"/>
      <c r="G67" s="184">
        <f t="shared" si="10"/>
        <v>0</v>
      </c>
      <c r="H67" s="185" t="e">
        <f t="shared" si="3"/>
        <v>#DIV/0!</v>
      </c>
      <c r="I67" s="186"/>
      <c r="J67" s="183"/>
      <c r="K67" s="187"/>
      <c r="L67" s="187">
        <v>1024273956</v>
      </c>
      <c r="M67" s="164" t="e">
        <f>J67/G67</f>
        <v>#DIV/0!</v>
      </c>
      <c r="N67" s="165"/>
    </row>
    <row r="68" spans="1:16" s="180" customFormat="1">
      <c r="A68" s="191" t="s">
        <v>470</v>
      </c>
      <c r="B68" s="173" t="s">
        <v>442</v>
      </c>
      <c r="C68" s="135" t="s">
        <v>446</v>
      </c>
      <c r="D68" s="135"/>
      <c r="E68" s="135"/>
      <c r="F68" s="166">
        <v>86373356</v>
      </c>
      <c r="G68" s="175">
        <f t="shared" si="10"/>
        <v>45704</v>
      </c>
      <c r="H68" s="176">
        <f t="shared" ref="H68:H69" si="13">G68/F68</f>
        <v>5.2914465891541827E-4</v>
      </c>
      <c r="I68" s="166">
        <v>36465</v>
      </c>
      <c r="J68" s="166">
        <v>9239</v>
      </c>
      <c r="K68" s="192">
        <v>2</v>
      </c>
      <c r="L68" s="177">
        <v>140190</v>
      </c>
      <c r="M68" s="178">
        <f t="shared" ref="M68" si="14">J68/G68</f>
        <v>0.2021486084368983</v>
      </c>
      <c r="N68" s="179"/>
      <c r="O68" s="143" t="s">
        <v>471</v>
      </c>
      <c r="P68" s="193"/>
    </row>
    <row r="69" spans="1:16" s="182" customFormat="1">
      <c r="A69" s="194" t="s">
        <v>472</v>
      </c>
      <c r="F69" s="195"/>
      <c r="G69" s="184"/>
      <c r="H69" s="185" t="e">
        <f t="shared" si="13"/>
        <v>#DIV/0!</v>
      </c>
      <c r="I69" s="195"/>
      <c r="J69" s="195"/>
      <c r="K69" s="187"/>
      <c r="L69" s="187"/>
    </row>
    <row r="70" spans="1:16" s="201" customFormat="1">
      <c r="A70" s="196" t="s">
        <v>473</v>
      </c>
      <c r="B70" s="196"/>
      <c r="C70" s="196"/>
      <c r="D70" s="196"/>
      <c r="E70" s="196"/>
      <c r="F70" s="197">
        <f t="shared" ref="F70:K70" si="15">SUM(F53:F68)</f>
        <v>79018683431</v>
      </c>
      <c r="G70" s="197">
        <f t="shared" si="15"/>
        <v>1801131844</v>
      </c>
      <c r="H70" s="198"/>
      <c r="I70" s="199">
        <f t="shared" si="15"/>
        <v>1554513651</v>
      </c>
      <c r="J70" s="197">
        <f t="shared" si="15"/>
        <v>138188760</v>
      </c>
      <c r="K70" s="197">
        <f t="shared" si="15"/>
        <v>12397</v>
      </c>
      <c r="L70" s="199">
        <f>SUM(L53:L68)</f>
        <v>2946029663</v>
      </c>
      <c r="M70" s="200">
        <f>J70/I70</f>
        <v>8.889517304084453E-2</v>
      </c>
      <c r="N70" s="199"/>
      <c r="O70" s="139"/>
      <c r="P70" s="139"/>
    </row>
    <row r="71" spans="1:16">
      <c r="J71" s="135">
        <f>J70*M71/M70</f>
        <v>326447866.70999998</v>
      </c>
      <c r="M71" s="203">
        <v>0.21</v>
      </c>
    </row>
    <row r="72" spans="1:16">
      <c r="J72" s="204">
        <f>J71-J70</f>
        <v>188259106.70999998</v>
      </c>
    </row>
    <row r="73" spans="1:16">
      <c r="F73" s="135">
        <f>0.13*F59</f>
        <v>5699236895.4300003</v>
      </c>
      <c r="J73" s="205">
        <f>J70*M73/M70</f>
        <v>419718685.77000004</v>
      </c>
      <c r="M73" s="203">
        <v>0.27</v>
      </c>
    </row>
    <row r="74" spans="1:16">
      <c r="J74" s="205">
        <f>J73-J70</f>
        <v>281529925.77000004</v>
      </c>
    </row>
  </sheetData>
  <autoFilter ref="A1:O74"/>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98"/>
  <sheetViews>
    <sheetView zoomScaleNormal="100" workbookViewId="0">
      <selection activeCell="A17" sqref="A17:F17"/>
    </sheetView>
  </sheetViews>
  <sheetFormatPr baseColWidth="10" defaultColWidth="8.6640625" defaultRowHeight="14.4"/>
  <cols>
    <col min="1" max="1" width="34" customWidth="1"/>
    <col min="2" max="6" width="20.44140625" customWidth="1"/>
    <col min="7" max="7" width="12.33203125" bestFit="1" customWidth="1"/>
    <col min="8" max="8" width="12.44140625" customWidth="1"/>
    <col min="9" max="9" width="29.88671875" customWidth="1"/>
  </cols>
  <sheetData>
    <row r="1" spans="1:7" ht="15" customHeight="1">
      <c r="A1" s="1" t="s">
        <v>24</v>
      </c>
      <c r="B1" s="2" t="s">
        <v>0</v>
      </c>
      <c r="C1" s="2" t="s">
        <v>1</v>
      </c>
      <c r="D1" s="2" t="s">
        <v>2</v>
      </c>
      <c r="E1" s="2" t="s">
        <v>3</v>
      </c>
      <c r="F1" s="2" t="s">
        <v>4</v>
      </c>
      <c r="G1">
        <v>2021</v>
      </c>
    </row>
    <row r="2" spans="1:7" ht="15" customHeight="1">
      <c r="A2" s="3" t="s">
        <v>5</v>
      </c>
      <c r="B2" s="4">
        <v>8830669000</v>
      </c>
      <c r="C2" s="4">
        <v>11692713000</v>
      </c>
      <c r="D2" s="4">
        <v>15794341000</v>
      </c>
      <c r="E2" s="4">
        <v>20156447000</v>
      </c>
      <c r="F2" s="4">
        <v>24996056000</v>
      </c>
    </row>
    <row r="3" spans="1:7" ht="15" customHeight="1">
      <c r="A3" s="8" t="s">
        <v>10</v>
      </c>
      <c r="B3" s="4">
        <f>SUM(B4:B5)</f>
        <v>260507000</v>
      </c>
      <c r="C3" s="4">
        <f>SUM(C4:C5)</f>
        <v>485321000</v>
      </c>
      <c r="D3" s="4">
        <v>1226458000</v>
      </c>
      <c r="E3" s="4">
        <v>2062231000</v>
      </c>
      <c r="F3" s="4">
        <v>3199349000</v>
      </c>
    </row>
    <row r="4" spans="1:7" ht="15" customHeight="1">
      <c r="A4" s="8" t="s">
        <v>11</v>
      </c>
      <c r="B4" s="21">
        <v>188078000</v>
      </c>
      <c r="C4" s="21">
        <v>144100000</v>
      </c>
      <c r="D4" s="21">
        <v>845402000</v>
      </c>
      <c r="E4" s="21">
        <v>1719326000</v>
      </c>
      <c r="F4" s="21">
        <v>2789064000</v>
      </c>
    </row>
    <row r="5" spans="1:7" ht="15" customHeight="1">
      <c r="A5" s="8" t="s">
        <v>12</v>
      </c>
      <c r="B5" s="21">
        <v>72429000</v>
      </c>
      <c r="C5" s="21">
        <v>341221000</v>
      </c>
      <c r="D5" s="21">
        <v>381056000</v>
      </c>
      <c r="E5" s="21">
        <v>342905000</v>
      </c>
      <c r="F5" s="21">
        <v>410285000</v>
      </c>
    </row>
    <row r="6" spans="1:7" ht="15" customHeight="1">
      <c r="A6" s="8" t="s">
        <v>13</v>
      </c>
      <c r="B6" s="21">
        <f>SUM(B7,B10)</f>
        <v>73865000</v>
      </c>
      <c r="C6" s="21">
        <f>SUM(C7,C10)</f>
        <v>-73608000</v>
      </c>
      <c r="D6" s="21">
        <v>15216000</v>
      </c>
      <c r="E6" s="21">
        <v>195315000</v>
      </c>
      <c r="F6" s="21">
        <v>437954000</v>
      </c>
    </row>
    <row r="7" spans="1:7" ht="15" customHeight="1">
      <c r="A7" s="8" t="s">
        <v>11</v>
      </c>
      <c r="B7" s="21">
        <f>SUM(B8:B9)</f>
        <v>21642000</v>
      </c>
      <c r="C7" s="21">
        <f>SUM(C8:C9)</f>
        <v>-160014000</v>
      </c>
      <c r="D7" s="21">
        <f>SUM(D8:D9)</f>
        <v>-122197000</v>
      </c>
      <c r="E7" s="21">
        <f>SUM(E8:E9)</f>
        <v>-15784000</v>
      </c>
      <c r="F7" s="21">
        <f>SUM(F8:F9)</f>
        <v>196845000</v>
      </c>
    </row>
    <row r="8" spans="1:7" ht="15" customHeight="1">
      <c r="A8" s="8" t="s">
        <v>14</v>
      </c>
      <c r="B8" s="21">
        <f>(54315+5790)*1000</f>
        <v>60105000</v>
      </c>
      <c r="C8" s="21">
        <f>(54245-7601)*1000</f>
        <v>46644000</v>
      </c>
      <c r="D8" s="21">
        <f>(-22176-10234)*1000</f>
        <v>-32410000</v>
      </c>
      <c r="E8" s="21">
        <f>(21498+45228)*1000</f>
        <v>66726000</v>
      </c>
      <c r="F8" s="21">
        <f>(24221+65821)*1000</f>
        <v>90042000</v>
      </c>
    </row>
    <row r="9" spans="1:7" ht="15" customHeight="1">
      <c r="A9" s="8" t="s">
        <v>15</v>
      </c>
      <c r="B9" s="21">
        <f>(-24383-14080)*1000</f>
        <v>-38463000</v>
      </c>
      <c r="C9" s="21">
        <f>(-153963-52695)*1000</f>
        <v>-206658000</v>
      </c>
      <c r="D9" s="21">
        <f>(-37396-52391)*1000</f>
        <v>-89787000</v>
      </c>
      <c r="E9" s="21">
        <f>(-28003-54507)*1000</f>
        <v>-82510000</v>
      </c>
      <c r="F9" s="21">
        <f>(-57765+164568)*1000</f>
        <v>106803000</v>
      </c>
    </row>
    <row r="10" spans="1:7" ht="15" customHeight="1">
      <c r="A10" s="8" t="s">
        <v>12</v>
      </c>
      <c r="B10" s="21">
        <f>SUM(B11:B12)</f>
        <v>52223000</v>
      </c>
      <c r="C10" s="21">
        <f>SUM(C11:C12)</f>
        <v>86406000</v>
      </c>
      <c r="D10" s="21">
        <f>SUM(D11:D12)</f>
        <v>137413000</v>
      </c>
      <c r="E10" s="21">
        <f>SUM(E11:E12)</f>
        <v>211099000</v>
      </c>
      <c r="F10" s="21">
        <f>SUM(F11:F12)</f>
        <v>240992000</v>
      </c>
    </row>
    <row r="11" spans="1:7" ht="15" customHeight="1">
      <c r="A11" s="8" t="s">
        <v>14</v>
      </c>
      <c r="B11" s="21">
        <v>60571000</v>
      </c>
      <c r="C11" s="21">
        <v>88436000</v>
      </c>
      <c r="D11" s="21">
        <v>133146000</v>
      </c>
      <c r="E11" s="21">
        <v>223328000</v>
      </c>
      <c r="F11" s="21">
        <v>277846000</v>
      </c>
    </row>
    <row r="12" spans="1:7" ht="15" customHeight="1">
      <c r="A12" s="8" t="s">
        <v>15</v>
      </c>
      <c r="B12" s="21">
        <v>-8348000</v>
      </c>
      <c r="C12" s="21">
        <v>-2030000</v>
      </c>
      <c r="D12" s="21">
        <v>4267000</v>
      </c>
      <c r="E12" s="21">
        <v>-12229000</v>
      </c>
      <c r="F12" s="21">
        <v>-36854000</v>
      </c>
    </row>
    <row r="13" spans="1:7" ht="15" customHeight="1">
      <c r="A13" s="8" t="s">
        <v>281</v>
      </c>
      <c r="B13" s="9"/>
      <c r="C13" s="9"/>
      <c r="D13" s="9"/>
      <c r="E13" s="9"/>
      <c r="F13" s="9"/>
    </row>
    <row r="14" spans="1:7" ht="15" customHeight="1">
      <c r="A14" s="10" t="s">
        <v>32</v>
      </c>
      <c r="B14" s="5"/>
      <c r="C14" s="5">
        <v>5500</v>
      </c>
      <c r="D14" s="5">
        <v>7100</v>
      </c>
      <c r="E14" s="5">
        <v>8600</v>
      </c>
      <c r="F14" s="5">
        <v>9400</v>
      </c>
    </row>
    <row r="15" spans="1:7" ht="15" customHeight="1">
      <c r="A15" s="8" t="s">
        <v>25</v>
      </c>
      <c r="B15" s="5">
        <v>89090</v>
      </c>
      <c r="C15" s="5">
        <v>110644</v>
      </c>
      <c r="D15" s="5">
        <v>139259</v>
      </c>
      <c r="E15" s="5">
        <v>167090</v>
      </c>
      <c r="F15" s="5">
        <v>203663</v>
      </c>
    </row>
    <row r="16" spans="1:7" ht="15" customHeight="1">
      <c r="A16" s="7" t="s">
        <v>27</v>
      </c>
      <c r="B16" s="17">
        <f>C16/K23*J23</f>
        <v>3556.7910028347915</v>
      </c>
      <c r="C16" s="17">
        <f>D16/L23*K23</f>
        <v>4417.3036672763801</v>
      </c>
      <c r="D16" s="17">
        <f>E16/M23*L23</f>
        <v>6424.1497496176798</v>
      </c>
      <c r="E16" s="17">
        <f>F16/N23*M23</f>
        <v>8795.5371975171674</v>
      </c>
      <c r="F16" s="69">
        <v>11330</v>
      </c>
    </row>
    <row r="17" spans="1:14" ht="15" customHeight="1">
      <c r="A17" s="8" t="s">
        <v>9</v>
      </c>
      <c r="B17" s="70">
        <f>B16/J23*J20/B2</f>
        <v>3.4326629310097084E-2</v>
      </c>
      <c r="C17" s="70">
        <f>C16/K23*K20/C2</f>
        <v>3.4326629310097084E-2</v>
      </c>
      <c r="D17" s="70">
        <f>D16/L23*L20/D2</f>
        <v>4.2630176614726671E-2</v>
      </c>
      <c r="E17" s="70">
        <f>E16/M23*M20/E2</f>
        <v>4.6714665727475999E-2</v>
      </c>
      <c r="F17" s="71">
        <f>F16/N23*N20/F2</f>
        <v>5.2819280720189703E-2</v>
      </c>
    </row>
    <row r="18" spans="1:14" ht="15" customHeight="1">
      <c r="A18" s="105" t="s">
        <v>248</v>
      </c>
      <c r="B18" s="24"/>
      <c r="C18" s="24"/>
      <c r="D18" s="24">
        <v>2018</v>
      </c>
      <c r="E18" s="24">
        <v>2019</v>
      </c>
      <c r="F18" s="24">
        <v>2020</v>
      </c>
    </row>
    <row r="19" spans="1:14" ht="15" customHeight="1">
      <c r="A19" s="3" t="s">
        <v>5</v>
      </c>
      <c r="B19" s="4"/>
      <c r="C19" s="4"/>
      <c r="D19" s="4">
        <v>5500</v>
      </c>
      <c r="E19" s="4">
        <v>9468</v>
      </c>
      <c r="F19" s="4">
        <v>12545</v>
      </c>
    </row>
    <row r="20" spans="1:14" ht="15" customHeight="1">
      <c r="A20" s="3" t="s">
        <v>23</v>
      </c>
      <c r="B20" s="4"/>
      <c r="C20" s="4"/>
      <c r="D20" s="4">
        <v>151</v>
      </c>
      <c r="E20" s="4">
        <v>266</v>
      </c>
      <c r="F20" s="4">
        <v>372</v>
      </c>
      <c r="I20" s="10" t="s">
        <v>6</v>
      </c>
      <c r="J20" s="67">
        <f>K20/C2*B2</f>
        <v>1784463495.5033104</v>
      </c>
      <c r="K20" s="4">
        <v>2362813000</v>
      </c>
      <c r="L20" s="4">
        <v>3963707000</v>
      </c>
      <c r="M20" s="4">
        <v>5543067000</v>
      </c>
      <c r="N20" s="4">
        <v>7772252000</v>
      </c>
    </row>
    <row r="21" spans="1:14" ht="15" customHeight="1">
      <c r="A21" s="3" t="s">
        <v>13</v>
      </c>
      <c r="B21" s="19"/>
      <c r="C21" s="19"/>
      <c r="D21" s="19">
        <v>91610000</v>
      </c>
      <c r="E21" s="4">
        <v>92</v>
      </c>
      <c r="F21" s="4">
        <v>96</v>
      </c>
      <c r="I21" s="10" t="s">
        <v>7</v>
      </c>
      <c r="J21" s="19" t="s">
        <v>246</v>
      </c>
      <c r="K21" s="14">
        <v>9.17</v>
      </c>
      <c r="L21" s="14">
        <v>10.45</v>
      </c>
      <c r="M21" s="14">
        <v>10.33</v>
      </c>
      <c r="N21" s="14">
        <v>10.72</v>
      </c>
    </row>
    <row r="22" spans="1:14" ht="15" customHeight="1">
      <c r="A22" s="48" t="s">
        <v>14</v>
      </c>
      <c r="B22" s="19"/>
      <c r="C22" s="19"/>
      <c r="D22" s="19"/>
      <c r="E22" s="4"/>
      <c r="F22" s="4"/>
      <c r="I22" s="8" t="s">
        <v>25</v>
      </c>
      <c r="J22" s="5">
        <v>89090</v>
      </c>
      <c r="K22" s="5">
        <v>110644</v>
      </c>
      <c r="L22" s="5">
        <v>139259</v>
      </c>
      <c r="M22" s="5">
        <v>167090</v>
      </c>
      <c r="N22" s="5">
        <v>203663</v>
      </c>
    </row>
    <row r="23" spans="1:14" ht="15" customHeight="1">
      <c r="A23" s="48" t="s">
        <v>15</v>
      </c>
      <c r="B23" s="19"/>
      <c r="C23" s="19"/>
      <c r="D23" s="19"/>
      <c r="E23" s="4"/>
      <c r="F23" s="4"/>
      <c r="I23" s="8" t="s">
        <v>26</v>
      </c>
      <c r="J23" s="68">
        <f>K23/K22*J22</f>
        <v>20938.291818806261</v>
      </c>
      <c r="K23" s="5">
        <v>26004</v>
      </c>
      <c r="L23" s="5">
        <v>37818</v>
      </c>
      <c r="M23" s="5">
        <v>51778</v>
      </c>
      <c r="N23" s="5">
        <v>66698</v>
      </c>
    </row>
    <row r="24" spans="1:14" ht="15" customHeight="1">
      <c r="A24" s="7" t="s">
        <v>21</v>
      </c>
      <c r="B24" s="20"/>
      <c r="C24" s="20"/>
      <c r="D24" s="20"/>
      <c r="E24" s="12">
        <f>(-E21)/E20</f>
        <v>-0.34586466165413532</v>
      </c>
      <c r="F24" s="12">
        <f>(-F21)/F20</f>
        <v>-0.25806451612903225</v>
      </c>
    </row>
    <row r="25" spans="1:14" ht="15" customHeight="1">
      <c r="A25" t="s">
        <v>22</v>
      </c>
      <c r="E25" s="4">
        <v>1071</v>
      </c>
      <c r="F25" s="4">
        <v>1300</v>
      </c>
    </row>
    <row r="26" spans="1:14" ht="15" customHeight="1">
      <c r="A26" s="2" t="s">
        <v>18</v>
      </c>
      <c r="B26" s="24"/>
      <c r="C26" s="24"/>
      <c r="D26" s="24">
        <v>2018</v>
      </c>
      <c r="E26" s="24">
        <v>2019</v>
      </c>
      <c r="F26" s="24">
        <v>2020</v>
      </c>
    </row>
    <row r="27" spans="1:14" ht="15" customHeight="1">
      <c r="A27" s="3" t="s">
        <v>5</v>
      </c>
      <c r="B27" s="14"/>
      <c r="C27" s="14"/>
      <c r="D27" s="14"/>
      <c r="E27" s="25" t="s">
        <v>246</v>
      </c>
      <c r="F27" s="73"/>
    </row>
    <row r="28" spans="1:14" ht="15" customHeight="1">
      <c r="A28" s="7" t="s">
        <v>19</v>
      </c>
      <c r="B28" s="14"/>
      <c r="C28" s="5">
        <v>20702</v>
      </c>
      <c r="D28" s="5">
        <v>26376</v>
      </c>
      <c r="E28" s="14">
        <v>513755</v>
      </c>
      <c r="F28" s="74" t="e">
        <f>#REF!*E28/#REF!</f>
        <v>#REF!</v>
      </c>
    </row>
    <row r="29" spans="1:14" ht="15" customHeight="1">
      <c r="A29" s="8" t="s">
        <v>20</v>
      </c>
      <c r="B29" s="14"/>
      <c r="C29" s="75">
        <f>0.3*C28</f>
        <v>6210.5999999999995</v>
      </c>
      <c r="D29" s="75">
        <f>0.3*D28</f>
        <v>7912.7999999999993</v>
      </c>
      <c r="E29" s="75">
        <f>0.3*E28</f>
        <v>154126.5</v>
      </c>
      <c r="F29" s="74" t="e">
        <f>F30*F28</f>
        <v>#REF!</v>
      </c>
    </row>
    <row r="30" spans="1:14" ht="15" customHeight="1">
      <c r="A30" s="7" t="s">
        <v>21</v>
      </c>
      <c r="B30" s="12"/>
      <c r="C30" s="12"/>
      <c r="D30" s="12">
        <f>D29/D28</f>
        <v>0.3</v>
      </c>
      <c r="E30" s="12">
        <f>E29/E28</f>
        <v>0.3</v>
      </c>
      <c r="F30" s="76">
        <f>E30</f>
        <v>0.3</v>
      </c>
    </row>
    <row r="31" spans="1:14" ht="15" customHeight="1">
      <c r="A31" s="3" t="s">
        <v>22</v>
      </c>
      <c r="B31" s="5"/>
      <c r="C31" s="5"/>
      <c r="D31" s="5"/>
      <c r="E31" s="5">
        <v>9</v>
      </c>
      <c r="F31" s="17">
        <v>12</v>
      </c>
    </row>
    <row r="32" spans="1:14" ht="15" customHeight="1">
      <c r="F32" s="77"/>
    </row>
    <row r="33" spans="1:9" ht="15" customHeight="1">
      <c r="E33" s="3"/>
      <c r="F33" s="14"/>
    </row>
    <row r="34" spans="1:9" ht="15" customHeight="1">
      <c r="E34" s="3"/>
      <c r="F34" s="14"/>
      <c r="H34" s="4"/>
    </row>
    <row r="35" spans="1:9" ht="15" customHeight="1">
      <c r="E35" s="3"/>
      <c r="F35" s="14"/>
      <c r="H35" s="4"/>
    </row>
    <row r="36" spans="1:9" ht="15" customHeight="1">
      <c r="E36" s="3"/>
      <c r="F36" s="14"/>
      <c r="H36" s="4"/>
    </row>
    <row r="37" spans="1:9" ht="15" customHeight="1">
      <c r="E37" s="3"/>
      <c r="F37" s="14"/>
    </row>
    <row r="38" spans="1:9" ht="15" customHeight="1">
      <c r="E38" s="3"/>
      <c r="F38" s="14"/>
    </row>
    <row r="39" spans="1:9" ht="15" customHeight="1">
      <c r="E39" s="3"/>
      <c r="F39" s="14"/>
    </row>
    <row r="40" spans="1:9" ht="24.45" customHeight="1">
      <c r="E40" s="3"/>
      <c r="F40" s="14"/>
    </row>
    <row r="41" spans="1:9" ht="15" customHeight="1">
      <c r="E41" s="3"/>
      <c r="F41" s="14"/>
    </row>
    <row r="42" spans="1:9" ht="15" customHeight="1">
      <c r="A42" s="64"/>
      <c r="B42" s="65"/>
      <c r="C42" s="65"/>
      <c r="D42" s="65"/>
      <c r="E42" s="65"/>
      <c r="F42" s="66"/>
      <c r="H42" s="10"/>
      <c r="I42" s="11"/>
    </row>
    <row r="43" spans="1:9" ht="15" customHeight="1">
      <c r="A43" s="66"/>
      <c r="B43" s="4"/>
      <c r="C43" s="4"/>
      <c r="D43" s="4"/>
      <c r="E43" s="4"/>
      <c r="F43" s="4"/>
      <c r="H43" s="10"/>
      <c r="I43" s="11"/>
    </row>
    <row r="44" spans="1:9" ht="15" customHeight="1">
      <c r="A44" s="38"/>
      <c r="B44" s="4"/>
      <c r="C44" s="4"/>
      <c r="D44" s="4"/>
      <c r="E44" s="4"/>
      <c r="F44" s="4"/>
    </row>
    <row r="45" spans="1:9" ht="15" customHeight="1">
      <c r="A45" s="38"/>
      <c r="B45" s="4"/>
      <c r="C45" s="4"/>
      <c r="D45" s="4"/>
      <c r="E45" s="4"/>
      <c r="F45" s="4"/>
    </row>
    <row r="46" spans="1:9" ht="15" customHeight="1">
      <c r="A46" s="7"/>
      <c r="B46" s="20"/>
      <c r="C46" s="20"/>
      <c r="D46" s="20"/>
      <c r="E46" s="12"/>
      <c r="F46" s="12"/>
    </row>
    <row r="47" spans="1:9" ht="15" customHeight="1">
      <c r="A47" s="38"/>
    </row>
    <row r="48" spans="1:9" ht="15" customHeight="1"/>
    <row r="49" spans="7:8" ht="15" customHeight="1"/>
    <row r="50" spans="7:8" ht="15" customHeight="1"/>
    <row r="51" spans="7:8" ht="15" customHeight="1"/>
    <row r="52" spans="7:8" ht="15" customHeight="1"/>
    <row r="53" spans="7:8" ht="15" customHeight="1"/>
    <row r="54" spans="7:8" ht="15" customHeight="1"/>
    <row r="55" spans="7:8" ht="15" customHeight="1"/>
    <row r="56" spans="7:8" ht="15" customHeight="1"/>
    <row r="57" spans="7:8" ht="15" customHeight="1"/>
    <row r="58" spans="7:8" ht="15" customHeight="1"/>
    <row r="59" spans="7:8" ht="15" customHeight="1"/>
    <row r="60" spans="7:8" ht="15" customHeight="1"/>
    <row r="61" spans="7:8" ht="15" customHeight="1"/>
    <row r="62" spans="7:8" ht="15" customHeight="1"/>
    <row r="63" spans="7:8" ht="15" customHeight="1">
      <c r="G63" s="31" t="s">
        <v>247</v>
      </c>
      <c r="H63" s="72"/>
    </row>
    <row r="64" spans="7:8"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sheetData>
  <printOptions gridLines="1"/>
  <pageMargins left="0.70069444444444395" right="0.70069444444444395" top="0.75208333333333299" bottom="0.75208333333333299" header="0.51180555555555496" footer="0.51180555555555496"/>
  <pageSetup paperSize="9" firstPageNumber="0" orientation="portrait" horizontalDpi="300" verticalDpi="300"/>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25"/>
  <sheetViews>
    <sheetView workbookViewId="0">
      <selection activeCell="C28" sqref="C28"/>
    </sheetView>
  </sheetViews>
  <sheetFormatPr baseColWidth="10" defaultRowHeight="13.8"/>
  <cols>
    <col min="1" max="1" width="19.6640625" style="84" bestFit="1" customWidth="1"/>
    <col min="2" max="14" width="9.44140625" style="84" customWidth="1"/>
    <col min="15" max="16384" width="11.5546875" style="84"/>
  </cols>
  <sheetData>
    <row r="3" spans="1:14">
      <c r="A3" s="83" t="s">
        <v>256</v>
      </c>
      <c r="B3" s="83" t="s">
        <v>76</v>
      </c>
      <c r="C3" s="83" t="s">
        <v>257</v>
      </c>
      <c r="D3" s="83" t="s">
        <v>129</v>
      </c>
      <c r="E3" s="83" t="s">
        <v>258</v>
      </c>
      <c r="F3" s="83" t="s">
        <v>259</v>
      </c>
      <c r="H3" s="83" t="s">
        <v>260</v>
      </c>
      <c r="I3" s="83" t="s">
        <v>76</v>
      </c>
      <c r="J3" s="83" t="s">
        <v>257</v>
      </c>
      <c r="K3" s="83" t="s">
        <v>129</v>
      </c>
      <c r="L3" s="83" t="s">
        <v>79</v>
      </c>
      <c r="M3" s="83" t="s">
        <v>259</v>
      </c>
    </row>
    <row r="4" spans="1:14">
      <c r="A4" s="85" t="s">
        <v>261</v>
      </c>
      <c r="B4" s="85"/>
      <c r="C4" s="85"/>
      <c r="D4" s="85"/>
      <c r="E4" s="85"/>
      <c r="F4" s="85"/>
      <c r="H4" s="85" t="s">
        <v>261</v>
      </c>
      <c r="I4" s="85"/>
      <c r="J4" s="85"/>
      <c r="K4" s="85"/>
      <c r="L4" s="85"/>
      <c r="M4" s="85"/>
    </row>
    <row r="5" spans="1:14">
      <c r="A5" s="84" t="s">
        <v>5</v>
      </c>
      <c r="B5" s="86">
        <v>321.7</v>
      </c>
      <c r="C5" s="86">
        <v>103.7</v>
      </c>
      <c r="D5" s="86">
        <v>226.6</v>
      </c>
      <c r="E5" s="86">
        <v>137.1</v>
      </c>
      <c r="F5" s="87">
        <v>413.2</v>
      </c>
      <c r="H5" s="84" t="s">
        <v>5</v>
      </c>
      <c r="I5" s="88">
        <v>365817</v>
      </c>
      <c r="J5" s="88">
        <v>117929</v>
      </c>
      <c r="K5" s="88">
        <v>257637</v>
      </c>
      <c r="L5" s="88">
        <v>168088</v>
      </c>
      <c r="M5" s="89"/>
    </row>
    <row r="6" spans="1:14">
      <c r="A6" s="84" t="s">
        <v>90</v>
      </c>
      <c r="B6" s="90">
        <v>96</v>
      </c>
      <c r="C6" s="90">
        <v>41.6</v>
      </c>
      <c r="D6" s="90">
        <v>79.8</v>
      </c>
      <c r="E6" s="90">
        <v>58</v>
      </c>
      <c r="F6" s="91">
        <v>33.6</v>
      </c>
      <c r="H6" s="84" t="s">
        <v>90</v>
      </c>
      <c r="I6" s="92">
        <v>109207</v>
      </c>
      <c r="J6" s="92">
        <v>47284</v>
      </c>
      <c r="K6" s="92">
        <v>90734</v>
      </c>
      <c r="L6" s="92">
        <v>71102</v>
      </c>
      <c r="M6" s="89"/>
    </row>
    <row r="7" spans="1:14">
      <c r="A7" s="84" t="s">
        <v>13</v>
      </c>
      <c r="B7" s="90">
        <v>12.8</v>
      </c>
      <c r="C7" s="90">
        <v>7</v>
      </c>
      <c r="D7" s="90">
        <v>12.9</v>
      </c>
      <c r="E7" s="90">
        <v>8</v>
      </c>
      <c r="F7" s="87">
        <v>4.2</v>
      </c>
      <c r="H7" s="84" t="s">
        <v>13</v>
      </c>
      <c r="I7" s="92">
        <v>14527</v>
      </c>
      <c r="J7" s="92">
        <v>7914</v>
      </c>
      <c r="K7" s="92">
        <v>14701</v>
      </c>
      <c r="L7" s="92">
        <v>9831</v>
      </c>
      <c r="M7" s="89"/>
    </row>
    <row r="8" spans="1:14">
      <c r="A8" s="84" t="s">
        <v>262</v>
      </c>
      <c r="B8" s="93">
        <v>0.13302260844085101</v>
      </c>
      <c r="C8" s="93">
        <v>0.16737162676592501</v>
      </c>
      <c r="D8" s="93">
        <v>0.162023056406639</v>
      </c>
      <c r="E8" s="93">
        <v>0.13826615285083399</v>
      </c>
      <c r="F8" s="94">
        <v>0.126</v>
      </c>
      <c r="H8" s="84" t="s">
        <v>262</v>
      </c>
      <c r="I8" s="93">
        <f>I7/I6</f>
        <v>0.13302260844085087</v>
      </c>
      <c r="J8" s="93">
        <f>J7/J6</f>
        <v>0.16737162676592504</v>
      </c>
      <c r="K8" s="93">
        <f>K7/K6</f>
        <v>0.16202305640663919</v>
      </c>
      <c r="L8" s="93"/>
      <c r="M8" s="94"/>
    </row>
    <row r="9" spans="1:14">
      <c r="A9" s="84" t="s">
        <v>22</v>
      </c>
      <c r="B9" s="95" t="s">
        <v>263</v>
      </c>
      <c r="C9" s="88">
        <v>71970</v>
      </c>
      <c r="D9" s="88">
        <v>156500</v>
      </c>
      <c r="E9" s="95" t="s">
        <v>264</v>
      </c>
      <c r="F9" s="95" t="s">
        <v>265</v>
      </c>
      <c r="H9" s="84" t="s">
        <v>22</v>
      </c>
      <c r="I9" s="88"/>
      <c r="J9" s="88"/>
      <c r="K9" s="88"/>
      <c r="L9" s="88"/>
      <c r="M9" s="95"/>
    </row>
    <row r="10" spans="1:14">
      <c r="A10" s="85" t="s">
        <v>243</v>
      </c>
      <c r="B10" s="85"/>
      <c r="C10" s="85"/>
      <c r="D10" s="85"/>
      <c r="E10" s="85"/>
      <c r="F10" s="85"/>
    </row>
    <row r="11" spans="1:14" ht="14.4">
      <c r="A11" s="84" t="s">
        <v>5</v>
      </c>
      <c r="B11" s="96"/>
      <c r="C11" s="96"/>
      <c r="D11" s="96"/>
      <c r="E11" s="96"/>
      <c r="F11" s="97"/>
      <c r="H11" s="83" t="s">
        <v>266</v>
      </c>
      <c r="I11" s="83" t="s">
        <v>76</v>
      </c>
      <c r="J11" s="83" t="s">
        <v>257</v>
      </c>
      <c r="K11" s="83" t="s">
        <v>129</v>
      </c>
      <c r="L11" s="83" t="s">
        <v>79</v>
      </c>
      <c r="M11" s="83" t="s">
        <v>259</v>
      </c>
    </row>
    <row r="12" spans="1:14">
      <c r="A12" s="84" t="s">
        <v>90</v>
      </c>
      <c r="B12" s="96"/>
      <c r="C12" s="96"/>
      <c r="D12" s="96"/>
      <c r="E12" s="96"/>
      <c r="F12" s="96"/>
      <c r="H12" s="85" t="s">
        <v>261</v>
      </c>
      <c r="I12" s="85"/>
      <c r="J12" s="85"/>
      <c r="K12" s="85"/>
      <c r="L12" s="85"/>
      <c r="M12" s="85"/>
      <c r="N12" s="98" t="s">
        <v>267</v>
      </c>
    </row>
    <row r="13" spans="1:14">
      <c r="A13" s="84" t="s">
        <v>13</v>
      </c>
      <c r="B13" s="96"/>
      <c r="C13" s="96"/>
      <c r="D13" s="96"/>
      <c r="E13" s="96"/>
      <c r="F13" s="96"/>
      <c r="H13" s="84" t="s">
        <v>5</v>
      </c>
      <c r="I13" s="88">
        <f>I5*[1]Wechselkurse!B12</f>
        <v>321699.46979999996</v>
      </c>
      <c r="J13" s="88">
        <f>J5*[1]Wechselkurse!B12</f>
        <v>103706.7626</v>
      </c>
      <c r="K13" s="88">
        <f>K5*[1]Wechselkurse!B12</f>
        <v>226565.97779999999</v>
      </c>
      <c r="L13" s="99">
        <f>L5*[1]Wechselkurse!B11</f>
        <v>137050.5508</v>
      </c>
      <c r="M13" s="100"/>
      <c r="N13" s="100">
        <f>L5*[1]Wechselkurse!B12</f>
        <v>147816.58719999998</v>
      </c>
    </row>
    <row r="14" spans="1:14">
      <c r="A14" s="84" t="s">
        <v>262</v>
      </c>
      <c r="H14" s="84" t="s">
        <v>90</v>
      </c>
      <c r="I14" s="92">
        <f>I6*[1]Wechselkurse!B12</f>
        <v>96036.635799999989</v>
      </c>
      <c r="J14" s="92">
        <f>J6*[1]Wechselkurse!B12</f>
        <v>41581.549599999998</v>
      </c>
      <c r="K14" s="92">
        <f>K6*[1]Wechselkurse!B12</f>
        <v>79791.479599999991</v>
      </c>
      <c r="L14" s="99">
        <f>L6*[1]Wechselkurse!B11</f>
        <v>57973.015700000004</v>
      </c>
      <c r="M14" s="100"/>
      <c r="N14" s="101">
        <f>L6*[1]Wechselkurse!B12</f>
        <v>62527.0988</v>
      </c>
    </row>
    <row r="15" spans="1:14">
      <c r="A15" s="84" t="s">
        <v>22</v>
      </c>
      <c r="B15" s="99"/>
      <c r="C15" s="99"/>
      <c r="D15" s="99"/>
      <c r="E15" s="99"/>
      <c r="F15" s="99"/>
      <c r="H15" s="84" t="s">
        <v>13</v>
      </c>
      <c r="I15" s="92">
        <f>I7*[1]Wechselkurse!B12</f>
        <v>12775.043799999999</v>
      </c>
      <c r="J15" s="92">
        <f>J7*[1]Wechselkurse!B12</f>
        <v>6959.5715999999993</v>
      </c>
      <c r="K15" s="92">
        <f>K7*[1]Wechselkurse!B12</f>
        <v>12928.0594</v>
      </c>
      <c r="L15" s="99">
        <f>L7*[1]Wechselkurse!B11</f>
        <v>8015.7058500000003</v>
      </c>
      <c r="M15" s="100"/>
      <c r="N15" s="101">
        <f>L7*[1]Wechselkurse!B12</f>
        <v>8645.3814000000002</v>
      </c>
    </row>
    <row r="16" spans="1:14">
      <c r="A16" s="85" t="s">
        <v>268</v>
      </c>
      <c r="B16" s="85"/>
      <c r="C16" s="85"/>
      <c r="D16" s="85"/>
      <c r="E16" s="85"/>
      <c r="F16" s="85"/>
      <c r="H16" s="84" t="s">
        <v>262</v>
      </c>
      <c r="I16" s="93"/>
      <c r="J16" s="93">
        <f>J15/J14</f>
        <v>0.16737162676592504</v>
      </c>
      <c r="K16" s="93">
        <f>K15/K14</f>
        <v>0.16202305640663919</v>
      </c>
      <c r="L16" s="93">
        <f>L15/L14</f>
        <v>0.13826615285083402</v>
      </c>
      <c r="M16" s="94"/>
    </row>
    <row r="17" spans="1:13">
      <c r="A17" s="84" t="s">
        <v>5</v>
      </c>
      <c r="B17" s="96"/>
      <c r="C17" s="96"/>
      <c r="D17" s="96"/>
      <c r="E17" s="96"/>
      <c r="F17" s="96"/>
      <c r="H17" s="84" t="s">
        <v>22</v>
      </c>
      <c r="I17" s="88"/>
      <c r="J17" s="88"/>
      <c r="K17" s="88"/>
      <c r="L17" s="88"/>
      <c r="M17" s="95"/>
    </row>
    <row r="18" spans="1:13">
      <c r="A18" s="84" t="s">
        <v>90</v>
      </c>
      <c r="B18" s="96"/>
      <c r="C18" s="96"/>
      <c r="D18" s="96"/>
      <c r="E18" s="96"/>
      <c r="F18" s="96"/>
    </row>
    <row r="19" spans="1:13">
      <c r="A19" s="84" t="s">
        <v>13</v>
      </c>
      <c r="B19" s="96"/>
      <c r="C19" s="96"/>
      <c r="D19" s="96"/>
      <c r="E19" s="96"/>
      <c r="F19" s="96"/>
    </row>
    <row r="20" spans="1:13">
      <c r="A20" s="84" t="s">
        <v>262</v>
      </c>
    </row>
    <row r="21" spans="1:13">
      <c r="A21" s="84" t="s">
        <v>22</v>
      </c>
      <c r="B21" s="99"/>
      <c r="C21" s="99"/>
      <c r="D21" s="99"/>
      <c r="E21" s="99"/>
      <c r="F21" s="99"/>
    </row>
    <row r="23" spans="1:13">
      <c r="B23" s="84" t="s">
        <v>269</v>
      </c>
    </row>
    <row r="24" spans="1:13">
      <c r="B24" s="84" t="s">
        <v>270</v>
      </c>
    </row>
    <row r="25" spans="1:13">
      <c r="B25" s="84" t="s">
        <v>271</v>
      </c>
    </row>
  </sheetData>
  <pageMargins left="0" right="0" top="0.39370078740157483" bottom="0.39370078740157483" header="0" footer="0"/>
  <headerFooter>
    <oddHeader>&amp;C&amp;A</oddHeader>
    <oddFooter>&amp;CSeite &amp;P</oddFooter>
  </headerFooter>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Arbeitsblätter</vt:lpstr>
      </vt:variant>
      <vt:variant>
        <vt:i4>19</vt:i4>
      </vt:variant>
    </vt:vector>
  </HeadingPairs>
  <TitlesOfParts>
    <vt:vector size="19" baseType="lpstr">
      <vt:lpstr>Übersicht</vt:lpstr>
      <vt:lpstr>Apple</vt:lpstr>
      <vt:lpstr>Meta</vt:lpstr>
      <vt:lpstr>Alphabet</vt:lpstr>
      <vt:lpstr>Microsoft</vt:lpstr>
      <vt:lpstr>Amazon</vt:lpstr>
      <vt:lpstr>Amazons Subs 2020</vt:lpstr>
      <vt:lpstr>Netflix</vt:lpstr>
      <vt:lpstr>2021</vt:lpstr>
      <vt:lpstr>Tab1+8_Säule1</vt:lpstr>
      <vt:lpstr>Finale Forbes Liste 1</vt:lpstr>
      <vt:lpstr>Finale Forbes Liste 2</vt:lpstr>
      <vt:lpstr>Tab2_Säule 2_Sätze</vt:lpstr>
      <vt:lpstr>G1_Gewinnanteil</vt:lpstr>
      <vt:lpstr>Tab3_Mindestsätze</vt:lpstr>
      <vt:lpstr>Tab8_Alternativen</vt:lpstr>
      <vt:lpstr>USD_EUR</vt:lpstr>
      <vt:lpstr>Tabelle7</vt:lpstr>
      <vt:lpstr>Tabelle8</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Christoph Trautvetter</dc:creator>
  <dc:description/>
  <cp:lastModifiedBy>Christoph</cp:lastModifiedBy>
  <cp:revision>465</cp:revision>
  <dcterms:created xsi:type="dcterms:W3CDTF">2021-08-03T21:30:55Z</dcterms:created>
  <dcterms:modified xsi:type="dcterms:W3CDTF">2023-01-13T08:35:08Z</dcterms:modified>
  <dc:language>de-DE</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