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hristoph\Nextcloud2\NWSG_Team\0. Jahrbuch Steuergerechtigkeit\2024\Arbeitspapiere\"/>
    </mc:Choice>
  </mc:AlternateContent>
  <bookViews>
    <workbookView xWindow="0" yWindow="0" windowWidth="23040" windowHeight="8688" tabRatio="500" activeTab="4"/>
  </bookViews>
  <sheets>
    <sheet name="Finanzjahr" sheetId="21" r:id="rId1"/>
    <sheet name="2022all" sheetId="24" r:id="rId2"/>
    <sheet name="2021all" sheetId="19" r:id="rId3"/>
    <sheet name="2020all" sheetId="32" r:id="rId4"/>
    <sheet name="2016all" sheetId="31" r:id="rId5"/>
    <sheet name="Apple" sheetId="1" r:id="rId6"/>
    <sheet name="Meta" sheetId="2" r:id="rId7"/>
    <sheet name="Alphabet" sheetId="3" r:id="rId8"/>
    <sheet name="Microsoft" sheetId="4" r:id="rId9"/>
    <sheet name="Amazon" sheetId="12" r:id="rId10"/>
    <sheet name="Amazons Subs 2020" sheetId="20" r:id="rId11"/>
    <sheet name="Netflix" sheetId="13" r:id="rId12"/>
    <sheet name="Booking" sheetId="25" r:id="rId13"/>
    <sheet name="GDP_EU" sheetId="26" r:id="rId14"/>
    <sheet name="GDP_World" sheetId="27" r:id="rId15"/>
    <sheet name="USD_EUR" sheetId="14" state="hidden" r:id="rId16"/>
  </sheets>
  <definedNames>
    <definedName name="_xlnm._FilterDatabase" localSheetId="10" hidden="1">'Amazons Subs 2020'!$A$1:$O$74</definedName>
    <definedName name="_xlnm._FilterDatabase" localSheetId="12" hidden="1">Booking!$V$13:$AC$32</definedName>
    <definedName name="_xlnm._FilterDatabase" localSheetId="14" hidden="1">GDP_World!$A$4:$BP$270</definedName>
    <definedName name="_xlnm._FilterDatabase" localSheetId="15" hidden="1">USD_EUR!$E$4:$F$11</definedName>
  </definedNames>
  <calcPr calcId="152511"/>
</workbook>
</file>

<file path=xl/calcChain.xml><?xml version="1.0" encoding="utf-8"?>
<calcChain xmlns="http://schemas.openxmlformats.org/spreadsheetml/2006/main">
  <c r="F63" i="4" l="1"/>
  <c r="F64" i="4"/>
  <c r="F65" i="4" s="1"/>
  <c r="H10" i="12"/>
  <c r="H7" i="12"/>
  <c r="R11" i="2"/>
  <c r="H17" i="2"/>
  <c r="H31" i="2"/>
  <c r="H30" i="2"/>
  <c r="H29" i="2"/>
  <c r="H28" i="2"/>
  <c r="H27" i="2"/>
  <c r="H31" i="1"/>
  <c r="G30" i="1"/>
  <c r="H30" i="1"/>
  <c r="H29" i="1"/>
  <c r="F30" i="1"/>
  <c r="H28" i="1"/>
  <c r="H27" i="1"/>
  <c r="H17" i="1"/>
  <c r="E13" i="24"/>
  <c r="E11" i="24"/>
  <c r="E7" i="24"/>
  <c r="E5" i="24"/>
  <c r="E16" i="24"/>
  <c r="E4" i="24"/>
  <c r="E15" i="24"/>
  <c r="E3" i="24"/>
  <c r="E14" i="24"/>
  <c r="E2" i="24"/>
  <c r="E2" i="32"/>
  <c r="B13" i="32"/>
  <c r="F13" i="32"/>
  <c r="C11" i="32"/>
  <c r="F16" i="32"/>
  <c r="C6" i="32"/>
  <c r="H5" i="32"/>
  <c r="F6" i="32"/>
  <c r="C15" i="32"/>
  <c r="B16" i="32"/>
  <c r="F5" i="32"/>
  <c r="E11" i="32"/>
  <c r="D3" i="32"/>
  <c r="H11" i="32"/>
  <c r="H4" i="32"/>
  <c r="D14" i="32"/>
  <c r="F2" i="32"/>
  <c r="H13" i="32"/>
  <c r="D7" i="32"/>
  <c r="F7" i="32"/>
  <c r="D5" i="32"/>
  <c r="E3" i="32"/>
  <c r="B7" i="32"/>
  <c r="F11" i="32"/>
  <c r="B2" i="32"/>
  <c r="C4" i="32"/>
  <c r="D6" i="32"/>
  <c r="E4" i="32"/>
  <c r="C16" i="32"/>
  <c r="C2" i="32"/>
  <c r="B3" i="32"/>
  <c r="H7" i="32"/>
  <c r="H15" i="32"/>
  <c r="B14" i="32"/>
  <c r="B5" i="32"/>
  <c r="F15" i="32"/>
  <c r="H14" i="32"/>
  <c r="D13" i="32"/>
  <c r="C14" i="32"/>
  <c r="E6" i="32"/>
  <c r="B11" i="32"/>
  <c r="B4" i="32"/>
  <c r="F3" i="32"/>
  <c r="D4" i="32"/>
  <c r="E13" i="32"/>
  <c r="B6" i="32"/>
  <c r="H6" i="32"/>
  <c r="C5" i="32"/>
  <c r="C7" i="32"/>
  <c r="D16" i="32"/>
  <c r="D2" i="32"/>
  <c r="H16" i="32"/>
  <c r="D11" i="32"/>
  <c r="F4" i="32"/>
  <c r="H2" i="32"/>
  <c r="H3" i="32"/>
  <c r="C3" i="32"/>
  <c r="B15" i="32"/>
  <c r="F14" i="32"/>
  <c r="E5" i="32"/>
  <c r="E7" i="32"/>
  <c r="C13" i="32"/>
  <c r="D15" i="32"/>
  <c r="H3" i="31"/>
  <c r="E14" i="31"/>
  <c r="F16" i="31"/>
  <c r="H4" i="31"/>
  <c r="F3" i="31"/>
  <c r="E4" i="31"/>
  <c r="B15" i="24"/>
  <c r="D11" i="31"/>
  <c r="D16" i="31"/>
  <c r="G15" i="24"/>
  <c r="C3" i="31"/>
  <c r="C13" i="24"/>
  <c r="D14" i="31"/>
  <c r="D13" i="31"/>
  <c r="F2" i="31"/>
  <c r="C11" i="31"/>
  <c r="D3" i="31"/>
  <c r="B16" i="24"/>
  <c r="D15" i="31"/>
  <c r="E7" i="31"/>
  <c r="D15" i="24"/>
  <c r="F14" i="31"/>
  <c r="C15" i="24"/>
  <c r="B7" i="31"/>
  <c r="B6" i="31"/>
  <c r="H13" i="31"/>
  <c r="H7" i="31"/>
  <c r="C4" i="31"/>
  <c r="C2" i="31"/>
  <c r="H15" i="31"/>
  <c r="E6" i="31"/>
  <c r="E5" i="31"/>
  <c r="C16" i="31"/>
  <c r="C16" i="24"/>
  <c r="E3" i="31"/>
  <c r="B13" i="31"/>
  <c r="C15" i="31"/>
  <c r="H5" i="31"/>
  <c r="B4" i="31"/>
  <c r="D6" i="31"/>
  <c r="D16" i="24"/>
  <c r="F15" i="31"/>
  <c r="B16" i="31"/>
  <c r="H11" i="31"/>
  <c r="F11" i="31"/>
  <c r="F7" i="31"/>
  <c r="D14" i="24"/>
  <c r="B14" i="31"/>
  <c r="B3" i="31"/>
  <c r="B14" i="24"/>
  <c r="F6" i="31"/>
  <c r="E11" i="31"/>
  <c r="C14" i="24"/>
  <c r="H16" i="31"/>
  <c r="D5" i="31"/>
  <c r="D4" i="31"/>
  <c r="F5" i="31"/>
  <c r="C14" i="31"/>
  <c r="E16" i="31"/>
  <c r="G14" i="24"/>
  <c r="B15" i="31"/>
  <c r="C6" i="31"/>
  <c r="B2" i="31"/>
  <c r="D7" i="31"/>
  <c r="B5" i="31"/>
  <c r="H14" i="31"/>
  <c r="E2" i="31"/>
  <c r="E13" i="31"/>
  <c r="H2" i="31"/>
  <c r="F13" i="31"/>
  <c r="C13" i="31"/>
  <c r="G16" i="24"/>
  <c r="H6" i="31"/>
  <c r="C7" i="31"/>
  <c r="B11" i="31"/>
  <c r="D2" i="31"/>
  <c r="F4" i="31"/>
  <c r="C5" i="31"/>
  <c r="E10" i="32" l="1"/>
  <c r="E8" i="32"/>
  <c r="D12" i="32"/>
  <c r="D17" i="32"/>
  <c r="C10" i="32"/>
  <c r="C8" i="32"/>
  <c r="G6" i="32"/>
  <c r="B9" i="32"/>
  <c r="G4" i="32"/>
  <c r="G11" i="32"/>
  <c r="B12" i="32"/>
  <c r="E9" i="32"/>
  <c r="B8" i="32"/>
  <c r="G5" i="32"/>
  <c r="G3" i="32"/>
  <c r="C17" i="32"/>
  <c r="D9" i="32"/>
  <c r="G2" i="32"/>
  <c r="H12" i="32"/>
  <c r="F12" i="32"/>
  <c r="G7" i="32"/>
  <c r="B10" i="32"/>
  <c r="D8" i="32"/>
  <c r="H10" i="32"/>
  <c r="D10" i="32"/>
  <c r="E12" i="32"/>
  <c r="H8" i="32"/>
  <c r="B17" i="32"/>
  <c r="H9" i="32"/>
  <c r="C9" i="32"/>
  <c r="H17" i="32"/>
  <c r="F17" i="32"/>
  <c r="C12" i="32"/>
  <c r="G13" i="32"/>
  <c r="C17" i="31"/>
  <c r="H8" i="31"/>
  <c r="F17" i="31"/>
  <c r="G6" i="31"/>
  <c r="B9" i="31"/>
  <c r="C10" i="31"/>
  <c r="G11" i="31"/>
  <c r="B12" i="31"/>
  <c r="F12" i="31"/>
  <c r="D10" i="31"/>
  <c r="H17" i="31"/>
  <c r="E8" i="31"/>
  <c r="G7" i="31"/>
  <c r="B10" i="31"/>
  <c r="B8" i="31"/>
  <c r="G5" i="31"/>
  <c r="C9" i="31"/>
  <c r="C12" i="31"/>
  <c r="G4" i="31"/>
  <c r="C8" i="31"/>
  <c r="D9" i="31"/>
  <c r="E10" i="31"/>
  <c r="D12" i="31"/>
  <c r="G2" i="31"/>
  <c r="G3" i="31"/>
  <c r="D8" i="31"/>
  <c r="E9" i="31"/>
  <c r="E12" i="31"/>
  <c r="B17" i="31"/>
  <c r="G16" i="31"/>
  <c r="H10" i="31"/>
  <c r="G14" i="31"/>
  <c r="D17" i="31"/>
  <c r="H9" i="31"/>
  <c r="H12" i="31"/>
  <c r="G13" i="31"/>
  <c r="F14" i="24"/>
  <c r="F15" i="24"/>
  <c r="F16" i="24"/>
  <c r="B57" i="4"/>
  <c r="W44" i="25"/>
  <c r="W45" i="25"/>
  <c r="W46" i="25"/>
  <c r="W47" i="25"/>
  <c r="W48" i="25"/>
  <c r="W49" i="25"/>
  <c r="W50" i="25"/>
  <c r="W51" i="25"/>
  <c r="W52" i="25"/>
  <c r="W43" i="25"/>
  <c r="T36" i="25"/>
  <c r="T37" i="25" s="1"/>
  <c r="T38" i="25" s="1"/>
  <c r="T34" i="25"/>
  <c r="T33" i="25"/>
  <c r="N15" i="25"/>
  <c r="E18" i="24"/>
  <c r="E20" i="24"/>
  <c r="E19" i="24"/>
  <c r="F21" i="32"/>
  <c r="B19" i="32"/>
  <c r="B5" i="24"/>
  <c r="C23" i="31"/>
  <c r="C21" i="31"/>
  <c r="G4" i="24"/>
  <c r="F18" i="31"/>
  <c r="C7" i="24"/>
  <c r="H19" i="31"/>
  <c r="D19" i="31"/>
  <c r="B7" i="24"/>
  <c r="D19" i="32"/>
  <c r="B21" i="32"/>
  <c r="B18" i="32"/>
  <c r="C21" i="32"/>
  <c r="E18" i="32"/>
  <c r="H20" i="32"/>
  <c r="B18" i="31"/>
  <c r="C11" i="24"/>
  <c r="B21" i="31"/>
  <c r="C18" i="31"/>
  <c r="D21" i="31"/>
  <c r="G2" i="24"/>
  <c r="B13" i="24"/>
  <c r="G6" i="24"/>
  <c r="E20" i="32"/>
  <c r="D23" i="32"/>
  <c r="C23" i="32"/>
  <c r="F20" i="32"/>
  <c r="D23" i="31"/>
  <c r="C6" i="24"/>
  <c r="H18" i="31"/>
  <c r="E18" i="31"/>
  <c r="C5" i="24"/>
  <c r="D21" i="32"/>
  <c r="C19" i="32"/>
  <c r="D20" i="32"/>
  <c r="F21" i="31"/>
  <c r="D2" i="24"/>
  <c r="B20" i="31"/>
  <c r="D3" i="24"/>
  <c r="D4" i="24"/>
  <c r="D7" i="24"/>
  <c r="B11" i="24"/>
  <c r="D20" i="31"/>
  <c r="C18" i="32"/>
  <c r="F18" i="32"/>
  <c r="G13" i="24"/>
  <c r="H20" i="31"/>
  <c r="D5" i="24"/>
  <c r="B23" i="31"/>
  <c r="D6" i="24"/>
  <c r="G5" i="24"/>
  <c r="B19" i="31"/>
  <c r="F20" i="31"/>
  <c r="H19" i="32"/>
  <c r="H18" i="32"/>
  <c r="B20" i="32"/>
  <c r="E19" i="32"/>
  <c r="D13" i="24"/>
  <c r="D18" i="31"/>
  <c r="G7" i="24"/>
  <c r="C20" i="31"/>
  <c r="B3" i="24"/>
  <c r="B6" i="24"/>
  <c r="H21" i="32"/>
  <c r="C20" i="32"/>
  <c r="B23" i="32"/>
  <c r="D18" i="32"/>
  <c r="G3" i="24"/>
  <c r="C2" i="24"/>
  <c r="H21" i="31"/>
  <c r="G11" i="24"/>
  <c r="C3" i="24"/>
  <c r="E19" i="31"/>
  <c r="B2" i="24"/>
  <c r="C4" i="24"/>
  <c r="F19" i="32"/>
  <c r="D11" i="24"/>
  <c r="E20" i="31"/>
  <c r="F19" i="31"/>
  <c r="C19" i="31"/>
  <c r="B4" i="24"/>
  <c r="G8" i="32" l="1"/>
  <c r="F24" i="32"/>
  <c r="C22" i="32"/>
  <c r="G20" i="32"/>
  <c r="B22" i="32"/>
  <c r="D22" i="32"/>
  <c r="C24" i="32"/>
  <c r="H22" i="32"/>
  <c r="F22" i="32"/>
  <c r="G18" i="32"/>
  <c r="D24" i="32"/>
  <c r="G19" i="32"/>
  <c r="B24" i="32"/>
  <c r="G12" i="32"/>
  <c r="G10" i="32"/>
  <c r="G9" i="32"/>
  <c r="G10" i="31"/>
  <c r="G12" i="31"/>
  <c r="D22" i="31"/>
  <c r="E24" i="31"/>
  <c r="G19" i="31"/>
  <c r="B24" i="31"/>
  <c r="H22" i="31"/>
  <c r="G18" i="31"/>
  <c r="E22" i="31"/>
  <c r="B22" i="31"/>
  <c r="G20" i="31"/>
  <c r="D24" i="31"/>
  <c r="F22" i="31"/>
  <c r="C24" i="31"/>
  <c r="F24" i="31"/>
  <c r="C22" i="31"/>
  <c r="G17" i="31"/>
  <c r="G8" i="31"/>
  <c r="G9" i="31"/>
  <c r="F13" i="24"/>
  <c r="F11" i="24"/>
  <c r="F5" i="24"/>
  <c r="F7" i="24"/>
  <c r="F4" i="24"/>
  <c r="F3" i="24"/>
  <c r="F2" i="24"/>
  <c r="G12" i="24"/>
  <c r="B17" i="24"/>
  <c r="C10" i="24"/>
  <c r="D17" i="24"/>
  <c r="C9" i="24"/>
  <c r="E17" i="24"/>
  <c r="D9" i="24"/>
  <c r="D8" i="24"/>
  <c r="E8" i="24"/>
  <c r="C12" i="24"/>
  <c r="E12" i="24"/>
  <c r="B10" i="24"/>
  <c r="C17" i="24"/>
  <c r="B9" i="24"/>
  <c r="B8" i="24"/>
  <c r="D10" i="24"/>
  <c r="C8" i="24"/>
  <c r="E10" i="24"/>
  <c r="G17" i="24"/>
  <c r="B12" i="24"/>
  <c r="D12" i="24"/>
  <c r="AE28" i="25"/>
  <c r="AE27" i="25"/>
  <c r="D11" i="25"/>
  <c r="E11" i="25"/>
  <c r="E10" i="25" s="1"/>
  <c r="L28" i="13"/>
  <c r="J23" i="13"/>
  <c r="J20" i="13"/>
  <c r="L25" i="13"/>
  <c r="M25" i="13"/>
  <c r="N25" i="13"/>
  <c r="O25" i="13"/>
  <c r="L24" i="13"/>
  <c r="M24" i="13"/>
  <c r="N24" i="13"/>
  <c r="O24" i="13"/>
  <c r="J28" i="13"/>
  <c r="AF22" i="25"/>
  <c r="AF23" i="25" s="1"/>
  <c r="AG23" i="25" s="1"/>
  <c r="J27" i="13"/>
  <c r="D18" i="24"/>
  <c r="B19" i="24"/>
  <c r="C18" i="24"/>
  <c r="B20" i="24"/>
  <c r="D19" i="24"/>
  <c r="B23" i="24"/>
  <c r="B21" i="24"/>
  <c r="C21" i="24"/>
  <c r="G19" i="24"/>
  <c r="D21" i="24"/>
  <c r="B18" i="24"/>
  <c r="C23" i="24"/>
  <c r="G18" i="24"/>
  <c r="G20" i="24"/>
  <c r="C19" i="24"/>
  <c r="D20" i="24"/>
  <c r="G21" i="24"/>
  <c r="C20" i="24"/>
  <c r="D23" i="24"/>
  <c r="G24" i="31" l="1"/>
  <c r="G22" i="31"/>
  <c r="F10" i="24"/>
  <c r="F20" i="24"/>
  <c r="F18" i="24"/>
  <c r="F19" i="24"/>
  <c r="F17" i="24"/>
  <c r="F12" i="24"/>
  <c r="F8" i="24"/>
  <c r="C24" i="24"/>
  <c r="D24" i="24"/>
  <c r="B24" i="24"/>
  <c r="G24" i="24"/>
  <c r="B22" i="24"/>
  <c r="D22" i="24"/>
  <c r="G22" i="24"/>
  <c r="E22" i="24"/>
  <c r="E24" i="24"/>
  <c r="C22" i="24"/>
  <c r="F24" i="24" l="1"/>
  <c r="F22" i="24"/>
  <c r="A94" i="4"/>
  <c r="M29" i="25" l="1"/>
  <c r="Q29" i="25"/>
  <c r="P29" i="25"/>
  <c r="D33" i="4"/>
  <c r="P106" i="3"/>
  <c r="P105" i="3"/>
  <c r="P104" i="3"/>
  <c r="P103" i="3"/>
  <c r="B110" i="3"/>
  <c r="B72" i="25"/>
  <c r="A164" i="3"/>
  <c r="I272"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273" i="27"/>
  <c r="B6" i="27"/>
  <c r="B5" i="27"/>
  <c r="B7" i="27"/>
  <c r="B12" i="27"/>
  <c r="B8" i="27"/>
  <c r="B11" i="27"/>
  <c r="B14" i="27"/>
  <c r="B256" i="27"/>
  <c r="B15" i="27"/>
  <c r="B16" i="27"/>
  <c r="B10" i="27"/>
  <c r="B13" i="27"/>
  <c r="B18" i="27"/>
  <c r="B19" i="27"/>
  <c r="B20" i="27"/>
  <c r="B39" i="27"/>
  <c r="B26" i="27"/>
  <c r="B28" i="27"/>
  <c r="B38" i="27"/>
  <c r="B23" i="27"/>
  <c r="B37" i="27"/>
  <c r="B22" i="27"/>
  <c r="B21" i="27"/>
  <c r="B32" i="27"/>
  <c r="B25" i="27"/>
  <c r="B27" i="27"/>
  <c r="B29" i="27"/>
  <c r="B31" i="27"/>
  <c r="B34" i="27"/>
  <c r="B24" i="27"/>
  <c r="B36" i="27"/>
  <c r="B30" i="27"/>
  <c r="B33" i="27"/>
  <c r="B46" i="27"/>
  <c r="B43" i="27"/>
  <c r="B47" i="27"/>
  <c r="B240" i="27"/>
  <c r="B49" i="27"/>
  <c r="B50" i="27"/>
  <c r="B51" i="27"/>
  <c r="B57" i="27"/>
  <c r="B42" i="27"/>
  <c r="B54" i="27"/>
  <c r="B55" i="27"/>
  <c r="B52" i="27"/>
  <c r="B53" i="27"/>
  <c r="B40" i="27"/>
  <c r="B56" i="27"/>
  <c r="B44" i="27"/>
  <c r="B59" i="27"/>
  <c r="B60" i="27"/>
  <c r="B45" i="27"/>
  <c r="B61" i="27"/>
  <c r="B62" i="27"/>
  <c r="B93" i="27"/>
  <c r="B64" i="27"/>
  <c r="B65" i="27"/>
  <c r="B63" i="27"/>
  <c r="B66" i="27"/>
  <c r="B9" i="27"/>
  <c r="B69" i="27"/>
  <c r="B67" i="27"/>
  <c r="B68" i="27"/>
  <c r="B81" i="27"/>
  <c r="B80" i="27"/>
  <c r="B71" i="27"/>
  <c r="B72" i="27"/>
  <c r="B79" i="27"/>
  <c r="B75" i="27"/>
  <c r="B228" i="27"/>
  <c r="B76" i="27"/>
  <c r="B78" i="27"/>
  <c r="B83" i="27"/>
  <c r="B87" i="27"/>
  <c r="B86" i="27"/>
  <c r="B85" i="27"/>
  <c r="B88" i="27"/>
  <c r="B84" i="27"/>
  <c r="B163" i="27"/>
  <c r="B90" i="27"/>
  <c r="B257" i="27"/>
  <c r="B92" i="27"/>
  <c r="B94" i="27"/>
  <c r="B95" i="27"/>
  <c r="B101" i="27"/>
  <c r="B91" i="27"/>
  <c r="B102" i="27"/>
  <c r="B74" i="27"/>
  <c r="B96" i="27"/>
  <c r="B98" i="27"/>
  <c r="B97" i="27"/>
  <c r="B100" i="27"/>
  <c r="B99" i="27"/>
  <c r="B103" i="27"/>
  <c r="B106" i="27"/>
  <c r="B108" i="27"/>
  <c r="B107" i="27"/>
  <c r="B105" i="27"/>
  <c r="B58" i="27"/>
  <c r="B104" i="27"/>
  <c r="B109" i="27"/>
  <c r="B110" i="27"/>
  <c r="B112" i="27"/>
  <c r="B115" i="27"/>
  <c r="B113" i="27"/>
  <c r="B117" i="27"/>
  <c r="B114" i="27"/>
  <c r="B121" i="27"/>
  <c r="B116" i="27"/>
  <c r="B188" i="27"/>
  <c r="B120" i="27"/>
  <c r="B118" i="27"/>
  <c r="B119" i="27"/>
  <c r="B111" i="27"/>
  <c r="B122" i="27"/>
  <c r="B123" i="27"/>
  <c r="B124" i="27"/>
  <c r="B126" i="27"/>
  <c r="B125" i="27"/>
  <c r="B127" i="27"/>
  <c r="B128" i="27"/>
  <c r="B134" i="27"/>
  <c r="B41" i="27"/>
  <c r="B129" i="27"/>
  <c r="B230" i="27"/>
  <c r="B131" i="27"/>
  <c r="B133" i="27"/>
  <c r="B138" i="27"/>
  <c r="B135" i="27"/>
  <c r="B142" i="27"/>
  <c r="B144" i="27"/>
  <c r="B145" i="27"/>
  <c r="B231" i="27"/>
  <c r="B137" i="27"/>
  <c r="B141" i="27"/>
  <c r="B149" i="27"/>
  <c r="B146" i="27"/>
  <c r="B229" i="27"/>
  <c r="B150" i="27"/>
  <c r="B148" i="27"/>
  <c r="B143" i="27"/>
  <c r="B136" i="27"/>
  <c r="B147" i="27"/>
  <c r="B151" i="27"/>
  <c r="B140" i="27"/>
  <c r="B152" i="27"/>
  <c r="B232" i="27"/>
  <c r="B172" i="27"/>
  <c r="B169" i="27"/>
  <c r="B168" i="27"/>
  <c r="B153" i="27"/>
  <c r="B156" i="27"/>
  <c r="B164" i="27"/>
  <c r="B162" i="27"/>
  <c r="B159" i="27"/>
  <c r="B167" i="27"/>
  <c r="B185" i="27"/>
  <c r="B157" i="27"/>
  <c r="B158" i="27"/>
  <c r="B174" i="27"/>
  <c r="B165" i="27"/>
  <c r="B171" i="27"/>
  <c r="B170" i="27"/>
  <c r="B186" i="27"/>
  <c r="B173" i="27"/>
  <c r="B160" i="27"/>
  <c r="B161" i="27"/>
  <c r="B154" i="27"/>
  <c r="B155" i="27"/>
  <c r="B184" i="27"/>
  <c r="B175" i="27"/>
  <c r="B179" i="27"/>
  <c r="B182" i="27"/>
  <c r="B183" i="27"/>
  <c r="B181" i="27"/>
  <c r="B178" i="27"/>
  <c r="B187" i="27"/>
  <c r="B177" i="27"/>
  <c r="B176" i="27"/>
  <c r="B180" i="27"/>
  <c r="B189" i="27"/>
  <c r="B190" i="27"/>
  <c r="B191" i="27"/>
  <c r="B193" i="27"/>
  <c r="B195" i="27"/>
  <c r="B198" i="27"/>
  <c r="B199" i="27"/>
  <c r="B194" i="27"/>
  <c r="B196" i="27"/>
  <c r="B200" i="27"/>
  <c r="B203" i="27"/>
  <c r="B204" i="27"/>
  <c r="B130" i="27"/>
  <c r="B201" i="27"/>
  <c r="B197" i="27"/>
  <c r="B266" i="27"/>
  <c r="B192" i="27"/>
  <c r="B202" i="27"/>
  <c r="B89" i="27"/>
  <c r="B205" i="27"/>
  <c r="B206" i="27"/>
  <c r="B207" i="27"/>
  <c r="B208" i="27"/>
  <c r="B225" i="27"/>
  <c r="B212" i="27"/>
  <c r="B237" i="27"/>
  <c r="B213" i="27"/>
  <c r="B217" i="27"/>
  <c r="B222" i="27"/>
  <c r="B216" i="27"/>
  <c r="B73" i="27"/>
  <c r="B210" i="27"/>
  <c r="B223" i="27"/>
  <c r="B214" i="27"/>
  <c r="B235" i="27"/>
  <c r="B227" i="27"/>
  <c r="B234" i="27"/>
  <c r="B221" i="27"/>
  <c r="B211" i="27"/>
  <c r="B238" i="27"/>
  <c r="B219" i="27"/>
  <c r="B220" i="27"/>
  <c r="B239" i="27"/>
  <c r="B77" i="27"/>
  <c r="B218" i="27"/>
  <c r="B215" i="27"/>
  <c r="B241" i="27"/>
  <c r="B252" i="27"/>
  <c r="B48" i="27"/>
  <c r="B70" i="27"/>
  <c r="B82" i="27"/>
  <c r="B246" i="27"/>
  <c r="B244" i="27"/>
  <c r="B242" i="27"/>
  <c r="B251" i="27"/>
  <c r="B139" i="27"/>
  <c r="B245" i="27"/>
  <c r="B166" i="27"/>
  <c r="B247" i="27"/>
  <c r="B226" i="27"/>
  <c r="B236" i="27"/>
  <c r="B248" i="27"/>
  <c r="B249" i="27"/>
  <c r="B250" i="27"/>
  <c r="B253" i="27"/>
  <c r="B243" i="27"/>
  <c r="B254" i="27"/>
  <c r="B255" i="27"/>
  <c r="B259" i="27"/>
  <c r="B260" i="27"/>
  <c r="B258" i="27"/>
  <c r="B261" i="27"/>
  <c r="B233" i="27"/>
  <c r="B263" i="27"/>
  <c r="B35" i="27"/>
  <c r="B265" i="27"/>
  <c r="B264" i="27"/>
  <c r="B262" i="27"/>
  <c r="B267" i="27"/>
  <c r="B209" i="27"/>
  <c r="B132" i="27"/>
  <c r="B268" i="27"/>
  <c r="B224" i="27"/>
  <c r="B269" i="27"/>
  <c r="B270" i="27"/>
  <c r="B17"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338" i="27"/>
  <c r="C339" i="27"/>
  <c r="C340" i="27"/>
  <c r="C341" i="27"/>
  <c r="C342" i="27"/>
  <c r="C343" i="27"/>
  <c r="C344" i="27"/>
  <c r="C345" i="27"/>
  <c r="C346" i="27"/>
  <c r="C347" i="27"/>
  <c r="C348" i="27"/>
  <c r="C349" i="27"/>
  <c r="C350" i="27"/>
  <c r="C351" i="27"/>
  <c r="C352" i="27"/>
  <c r="C353" i="27"/>
  <c r="C354" i="27"/>
  <c r="C355" i="27"/>
  <c r="C356" i="27"/>
  <c r="C357" i="27"/>
  <c r="C358" i="27"/>
  <c r="C359" i="27"/>
  <c r="C360" i="27"/>
  <c r="C361" i="27"/>
  <c r="C362" i="27"/>
  <c r="C363" i="27"/>
  <c r="C364" i="27"/>
  <c r="C365" i="27"/>
  <c r="C366" i="27"/>
  <c r="C367" i="27"/>
  <c r="C368" i="27"/>
  <c r="C369" i="27"/>
  <c r="C370" i="27"/>
  <c r="C371" i="27"/>
  <c r="C372" i="27"/>
  <c r="C373" i="27"/>
  <c r="C374" i="27"/>
  <c r="C375" i="27"/>
  <c r="C376" i="27"/>
  <c r="C377" i="27"/>
  <c r="C378" i="27"/>
  <c r="C379" i="27"/>
  <c r="C380" i="27"/>
  <c r="C381" i="27"/>
  <c r="C382" i="27"/>
  <c r="C383" i="27"/>
  <c r="C384" i="27"/>
  <c r="C385" i="27"/>
  <c r="C386" i="27"/>
  <c r="C387" i="27"/>
  <c r="C388" i="27"/>
  <c r="C389" i="27"/>
  <c r="C390" i="27"/>
  <c r="C391" i="27"/>
  <c r="C392" i="27"/>
  <c r="C393" i="27"/>
  <c r="C273" i="27"/>
  <c r="BP1" i="27"/>
  <c r="H15" i="4"/>
  <c r="F150" i="3"/>
  <c r="F149" i="3"/>
  <c r="E141" i="3"/>
  <c r="B141" i="3"/>
  <c r="B140" i="3" s="1"/>
  <c r="C140" i="3"/>
  <c r="F143" i="3"/>
  <c r="F141" i="3"/>
  <c r="F144" i="3" s="1"/>
  <c r="K98" i="3"/>
  <c r="K109" i="3"/>
  <c r="K110" i="3"/>
  <c r="N114" i="3"/>
  <c r="N113" i="3"/>
  <c r="B87" i="4"/>
  <c r="B81" i="4"/>
  <c r="B86" i="4" s="1"/>
  <c r="F84" i="4"/>
  <c r="F82" i="4"/>
  <c r="F80" i="4"/>
  <c r="B77" i="4"/>
  <c r="B76" i="4"/>
  <c r="B75" i="4"/>
  <c r="F74" i="4"/>
  <c r="F72" i="4"/>
  <c r="F70" i="4"/>
  <c r="F142" i="3" l="1"/>
  <c r="F81" i="4"/>
  <c r="F83" i="4" s="1"/>
  <c r="B85" i="4"/>
  <c r="F71" i="4"/>
  <c r="F73" i="4" s="1"/>
  <c r="Q36" i="25" l="1"/>
  <c r="Q37" i="25" s="1"/>
  <c r="Q38" i="25" s="1"/>
  <c r="R36" i="25"/>
  <c r="R37" i="25" s="1"/>
  <c r="R38" i="25" s="1"/>
  <c r="S36" i="25"/>
  <c r="S37" i="25" s="1"/>
  <c r="P36" i="25"/>
  <c r="P37" i="25" s="1"/>
  <c r="P38" i="25" s="1"/>
  <c r="P34" i="25"/>
  <c r="Q34" i="25"/>
  <c r="R34" i="25"/>
  <c r="S34" i="25"/>
  <c r="Q33" i="25"/>
  <c r="R33" i="25"/>
  <c r="S33" i="25"/>
  <c r="P33" i="25"/>
  <c r="Q25" i="25"/>
  <c r="R25" i="25"/>
  <c r="S25" i="25"/>
  <c r="P25" i="25"/>
  <c r="L16" i="25"/>
  <c r="K16" i="25" s="1"/>
  <c r="L14" i="25"/>
  <c r="L15" i="25" s="1"/>
  <c r="G28" i="25"/>
  <c r="H28" i="25"/>
  <c r="F28" i="25"/>
  <c r="I28" i="25" l="1"/>
  <c r="S38" i="25"/>
  <c r="K17" i="25"/>
  <c r="C40" i="25"/>
  <c r="C41" i="25" s="1"/>
  <c r="K15" i="25"/>
  <c r="C69" i="25" l="1"/>
  <c r="D69" i="25"/>
  <c r="E69" i="25"/>
  <c r="F69" i="25"/>
  <c r="H69" i="25"/>
  <c r="B69" i="25"/>
  <c r="I13" i="13"/>
  <c r="G108" i="3" l="1"/>
  <c r="K108" i="3" s="1"/>
  <c r="C98" i="3"/>
  <c r="C109" i="3"/>
  <c r="B103" i="3"/>
  <c r="B99" i="3" s="1"/>
  <c r="J99" i="3"/>
  <c r="G107" i="3"/>
  <c r="J102" i="3"/>
  <c r="J101" i="3"/>
  <c r="J100" i="3"/>
  <c r="J103" i="3" s="1"/>
  <c r="J96" i="3"/>
  <c r="E107" i="3"/>
  <c r="F107" i="3" s="1"/>
  <c r="F108" i="3"/>
  <c r="F109" i="3"/>
  <c r="E108" i="3"/>
  <c r="B108" i="3"/>
  <c r="D107" i="3"/>
  <c r="H107" i="3" s="1"/>
  <c r="B107" i="3"/>
  <c r="G102" i="3"/>
  <c r="K102" i="3" s="1"/>
  <c r="E102" i="3"/>
  <c r="F102" i="3" s="1"/>
  <c r="D102" i="3"/>
  <c r="B102" i="3"/>
  <c r="E106" i="3"/>
  <c r="G106" i="3"/>
  <c r="K106" i="3" s="1"/>
  <c r="D106" i="3"/>
  <c r="H106" i="3" s="1"/>
  <c r="B106" i="3"/>
  <c r="E105" i="3"/>
  <c r="G105" i="3"/>
  <c r="K105" i="3" s="1"/>
  <c r="D105" i="3"/>
  <c r="F105" i="3" s="1"/>
  <c r="B105" i="3"/>
  <c r="D104" i="3"/>
  <c r="H104" i="3" s="1"/>
  <c r="G101" i="3"/>
  <c r="E101" i="3"/>
  <c r="C101" i="3" s="1"/>
  <c r="D101" i="3"/>
  <c r="H101" i="3" s="1"/>
  <c r="B101" i="3"/>
  <c r="I101" i="3" s="1"/>
  <c r="G100" i="3"/>
  <c r="D100" i="3"/>
  <c r="H100" i="3" s="1"/>
  <c r="B100" i="3"/>
  <c r="G97" i="3"/>
  <c r="E97" i="3"/>
  <c r="F97" i="3" s="1"/>
  <c r="D97" i="3"/>
  <c r="B97" i="3"/>
  <c r="H15" i="3"/>
  <c r="H10" i="3"/>
  <c r="H7" i="3"/>
  <c r="G15" i="3"/>
  <c r="G96" i="3"/>
  <c r="K96" i="3" s="1"/>
  <c r="F96" i="3"/>
  <c r="H102" i="3" s="1"/>
  <c r="C106" i="3"/>
  <c r="I109" i="3" s="1"/>
  <c r="E96" i="3"/>
  <c r="D96" i="3"/>
  <c r="B96" i="3"/>
  <c r="C96" i="3" s="1"/>
  <c r="M116" i="3"/>
  <c r="D58" i="4"/>
  <c r="D55" i="4"/>
  <c r="D56" i="4"/>
  <c r="D54" i="4"/>
  <c r="D59" i="4" s="1"/>
  <c r="C65" i="4"/>
  <c r="D65" i="4"/>
  <c r="E65" i="4"/>
  <c r="B65" i="4"/>
  <c r="L116" i="3"/>
  <c r="U23" i="25"/>
  <c r="AJ9" i="25"/>
  <c r="AL8" i="25"/>
  <c r="AL7" i="25" s="1"/>
  <c r="I99" i="3" l="1"/>
  <c r="I108" i="3"/>
  <c r="H105" i="3"/>
  <c r="H109" i="3"/>
  <c r="K97" i="3"/>
  <c r="K101" i="3"/>
  <c r="C105" i="3"/>
  <c r="F101" i="3"/>
  <c r="H108" i="3"/>
  <c r="D103" i="3"/>
  <c r="K107" i="3"/>
  <c r="C107" i="3"/>
  <c r="C108" i="3"/>
  <c r="C102" i="3"/>
  <c r="I105" i="3" s="1"/>
  <c r="G103" i="3"/>
  <c r="C97" i="3"/>
  <c r="I100" i="3" s="1"/>
  <c r="F106" i="3"/>
  <c r="D57" i="4"/>
  <c r="E59" i="4"/>
  <c r="D40" i="25"/>
  <c r="J35" i="25"/>
  <c r="M9" i="25"/>
  <c r="N9" i="25"/>
  <c r="O9" i="25"/>
  <c r="P9" i="25"/>
  <c r="Q9" i="25"/>
  <c r="R9" i="25"/>
  <c r="S9" i="25"/>
  <c r="T9" i="25"/>
  <c r="U9" i="25"/>
  <c r="V9" i="25"/>
  <c r="X9" i="25"/>
  <c r="Y9" i="25"/>
  <c r="Z9" i="25"/>
  <c r="AA9" i="25"/>
  <c r="AB9" i="25"/>
  <c r="AC9" i="25"/>
  <c r="AD9" i="25"/>
  <c r="AE9" i="25"/>
  <c r="L9" i="25"/>
  <c r="M12" i="25"/>
  <c r="N12" i="25"/>
  <c r="O12" i="25"/>
  <c r="P12" i="25"/>
  <c r="Q12" i="25"/>
  <c r="R12" i="25"/>
  <c r="S12" i="25"/>
  <c r="T12" i="25"/>
  <c r="U12" i="25"/>
  <c r="V12" i="25"/>
  <c r="X12" i="25"/>
  <c r="Y12" i="25"/>
  <c r="L12" i="25"/>
  <c r="E68" i="25"/>
  <c r="F68" i="25"/>
  <c r="G66" i="25"/>
  <c r="E71" i="25"/>
  <c r="F71" i="25"/>
  <c r="H71" i="25"/>
  <c r="H68" i="25"/>
  <c r="Q28" i="25"/>
  <c r="P28" i="25"/>
  <c r="M28" i="25"/>
  <c r="C71" i="25"/>
  <c r="D71" i="25"/>
  <c r="B71" i="25"/>
  <c r="N26" i="25"/>
  <c r="O26" i="25"/>
  <c r="P26" i="25"/>
  <c r="Q26" i="25"/>
  <c r="R26" i="25"/>
  <c r="S26" i="25"/>
  <c r="M26" i="25"/>
  <c r="F55" i="25"/>
  <c r="F56" i="25"/>
  <c r="F57" i="25"/>
  <c r="F54" i="25"/>
  <c r="E55" i="25"/>
  <c r="E56" i="25"/>
  <c r="E57" i="25"/>
  <c r="E54" i="25"/>
  <c r="E3" i="25"/>
  <c r="E4" i="25"/>
  <c r="E2" i="25"/>
  <c r="D99" i="3" l="1"/>
  <c r="H99" i="3" s="1"/>
  <c r="H103" i="3"/>
  <c r="G99" i="3"/>
  <c r="G68" i="25"/>
  <c r="G69" i="25"/>
  <c r="G71" i="25"/>
  <c r="M13" i="25"/>
  <c r="B40" i="25"/>
  <c r="Q8" i="25"/>
  <c r="R8" i="25"/>
  <c r="S8" i="25"/>
  <c r="L8" i="25"/>
  <c r="M8" i="25"/>
  <c r="N8" i="25"/>
  <c r="O8" i="25"/>
  <c r="P8" i="25"/>
  <c r="AD8" i="25"/>
  <c r="U8" i="25"/>
  <c r="V8" i="25"/>
  <c r="X8" i="25"/>
  <c r="Y8" i="25"/>
  <c r="Z8" i="25"/>
  <c r="AA8" i="25"/>
  <c r="AB8" i="25"/>
  <c r="AC8" i="25"/>
  <c r="T8" i="25"/>
  <c r="AE6" i="25"/>
  <c r="M6" i="25"/>
  <c r="N6" i="25"/>
  <c r="O6" i="25"/>
  <c r="P6" i="25"/>
  <c r="Q6" i="25"/>
  <c r="R6" i="25"/>
  <c r="S6" i="25"/>
  <c r="T6" i="25"/>
  <c r="U6" i="25"/>
  <c r="V6" i="25"/>
  <c r="X6" i="25"/>
  <c r="Y6" i="25"/>
  <c r="Z6" i="25"/>
  <c r="AA6" i="25"/>
  <c r="AB6" i="25"/>
  <c r="AC6" i="25"/>
  <c r="AD6" i="25"/>
  <c r="L6" i="25"/>
  <c r="C13" i="14"/>
  <c r="C14" i="14"/>
  <c r="C15" i="14"/>
  <c r="C16" i="14"/>
  <c r="C17" i="14"/>
  <c r="C18" i="14"/>
  <c r="C19" i="14"/>
  <c r="C20" i="14"/>
  <c r="C12" i="14"/>
  <c r="AF8" i="25" l="1"/>
  <c r="B42" i="25"/>
  <c r="R24" i="25"/>
  <c r="S24" i="25"/>
  <c r="B30" i="25"/>
  <c r="F21" i="25"/>
  <c r="S30" i="25" l="1"/>
  <c r="S35" i="25"/>
  <c r="R30" i="25"/>
  <c r="R35" i="25"/>
  <c r="AF10" i="25"/>
  <c r="AG9" i="25"/>
  <c r="B41" i="25"/>
  <c r="O24" i="25"/>
  <c r="Q24" i="25"/>
  <c r="P24" i="25"/>
  <c r="N24" i="25"/>
  <c r="M25" i="25"/>
  <c r="B25" i="25"/>
  <c r="F16" i="25"/>
  <c r="G16" i="25"/>
  <c r="H16" i="25"/>
  <c r="D16" i="25"/>
  <c r="E16" i="25"/>
  <c r="B14" i="25"/>
  <c r="B15" i="25"/>
  <c r="F17" i="25" s="1"/>
  <c r="B13" i="25"/>
  <c r="AN19" i="3"/>
  <c r="AI30" i="3" s="1"/>
  <c r="AM19" i="3"/>
  <c r="AO25" i="3" s="1"/>
  <c r="AN25" i="3"/>
  <c r="AI36" i="3" s="1"/>
  <c r="AN24" i="3"/>
  <c r="AI35" i="3" s="1"/>
  <c r="AN22" i="3"/>
  <c r="AN21" i="3"/>
  <c r="AM25" i="3"/>
  <c r="AM24" i="3"/>
  <c r="AM22" i="3"/>
  <c r="AK25" i="3"/>
  <c r="AJ19" i="3"/>
  <c r="AJ26" i="3"/>
  <c r="AK26" i="3" s="1"/>
  <c r="AJ25" i="3"/>
  <c r="AJ24" i="3"/>
  <c r="AK24" i="3" s="1"/>
  <c r="AJ23" i="3"/>
  <c r="AK23" i="3" s="1"/>
  <c r="AJ22" i="3"/>
  <c r="AK22" i="3" s="1"/>
  <c r="AJ21" i="3"/>
  <c r="AK21" i="3" s="1"/>
  <c r="AG19" i="3"/>
  <c r="AG25" i="3"/>
  <c r="AF36" i="3" s="1"/>
  <c r="AG24" i="3"/>
  <c r="E114" i="3"/>
  <c r="E104" i="3" s="1"/>
  <c r="E115" i="3"/>
  <c r="G104" i="3" s="1"/>
  <c r="E113" i="3"/>
  <c r="B104" i="3" s="1"/>
  <c r="I104" i="3" s="1"/>
  <c r="AG22" i="3"/>
  <c r="AF33" i="3" s="1"/>
  <c r="AG21" i="3"/>
  <c r="AF32" i="3" s="1"/>
  <c r="AM26" i="3"/>
  <c r="AG26" i="3"/>
  <c r="AF35" i="3"/>
  <c r="AI33" i="3"/>
  <c r="P30" i="25" l="1"/>
  <c r="P35" i="25"/>
  <c r="Q30" i="25"/>
  <c r="Q35" i="25"/>
  <c r="AM23" i="3"/>
  <c r="AS23" i="3" s="1"/>
  <c r="F104" i="3"/>
  <c r="C104" i="3"/>
  <c r="I107" i="3" s="1"/>
  <c r="AS24" i="3"/>
  <c r="K104" i="3"/>
  <c r="AS22" i="3"/>
  <c r="AN23" i="3"/>
  <c r="AI34" i="3" s="1"/>
  <c r="AG23" i="3"/>
  <c r="AF34" i="3" s="1"/>
  <c r="AF26" i="3"/>
  <c r="AF30" i="3"/>
  <c r="AH22" i="3"/>
  <c r="AH25" i="3"/>
  <c r="AO24" i="3"/>
  <c r="AF19" i="3"/>
  <c r="AO22" i="3"/>
  <c r="AH21" i="3"/>
  <c r="AH26" i="3"/>
  <c r="AO26" i="3"/>
  <c r="AR26" i="3" s="1"/>
  <c r="AH24" i="3"/>
  <c r="G17" i="25"/>
  <c r="F20" i="25"/>
  <c r="F19" i="25"/>
  <c r="B16" i="25"/>
  <c r="B20" i="25" s="1"/>
  <c r="AS19" i="3"/>
  <c r="AN27" i="3"/>
  <c r="AS25" i="3"/>
  <c r="AJ27" i="3"/>
  <c r="AH30" i="3"/>
  <c r="AQ19" i="3"/>
  <c r="AI32" i="3"/>
  <c r="AQ22" i="3"/>
  <c r="AQ23" i="3"/>
  <c r="AQ24" i="3"/>
  <c r="AQ25" i="3"/>
  <c r="AG27" i="3"/>
  <c r="AH36" i="3"/>
  <c r="AH33" i="3"/>
  <c r="AH35" i="3"/>
  <c r="AH34" i="3"/>
  <c r="AF20" i="3" l="1"/>
  <c r="AO23" i="3"/>
  <c r="AR23" i="3" s="1"/>
  <c r="AH23" i="3"/>
  <c r="AL26" i="3"/>
  <c r="AI26" i="3"/>
  <c r="AF22" i="3"/>
  <c r="AF25" i="3"/>
  <c r="AF21" i="3"/>
  <c r="AI21" i="3" s="1"/>
  <c r="AF24" i="3"/>
  <c r="AF23" i="3"/>
  <c r="G19" i="25"/>
  <c r="H17" i="25"/>
  <c r="H20" i="25" s="1"/>
  <c r="G20" i="25"/>
  <c r="AH27" i="3"/>
  <c r="AR25" i="3"/>
  <c r="AP25" i="3"/>
  <c r="AR24" i="3"/>
  <c r="AP24" i="3"/>
  <c r="AP23" i="3"/>
  <c r="AR22" i="3"/>
  <c r="AP22" i="3"/>
  <c r="D3" i="25"/>
  <c r="C117" i="3"/>
  <c r="D117" i="3"/>
  <c r="F117" i="3"/>
  <c r="G117" i="3"/>
  <c r="H117" i="3"/>
  <c r="I117" i="3"/>
  <c r="J117" i="3"/>
  <c r="K117" i="3"/>
  <c r="B117" i="3"/>
  <c r="C116" i="3"/>
  <c r="AU24" i="3" s="1"/>
  <c r="D116" i="3"/>
  <c r="F116" i="3"/>
  <c r="AU23" i="3" s="1"/>
  <c r="G116" i="3"/>
  <c r="AU22" i="3" s="1"/>
  <c r="H116" i="3"/>
  <c r="I116" i="3"/>
  <c r="J116" i="3"/>
  <c r="K116" i="3"/>
  <c r="B116" i="3"/>
  <c r="AU25" i="3" s="1"/>
  <c r="E21" i="24"/>
  <c r="E23" i="24"/>
  <c r="F23" i="24" l="1"/>
  <c r="F21" i="24"/>
  <c r="AT22" i="3"/>
  <c r="AJ33" i="3" s="1"/>
  <c r="AT24" i="3"/>
  <c r="AJ35" i="3" s="1"/>
  <c r="AT25" i="3"/>
  <c r="AJ36" i="3" s="1"/>
  <c r="AL21" i="3"/>
  <c r="AF27" i="3"/>
  <c r="AH20" i="3" s="1"/>
  <c r="AI20" i="3" s="1"/>
  <c r="AT23" i="3"/>
  <c r="AJ34" i="3" s="1"/>
  <c r="AL23" i="3"/>
  <c r="AI23" i="3"/>
  <c r="AI22" i="3"/>
  <c r="AL22" i="3"/>
  <c r="AL25" i="3"/>
  <c r="AI25" i="3"/>
  <c r="AL24" i="3"/>
  <c r="AI24" i="3"/>
  <c r="H19" i="25"/>
  <c r="E28" i="4"/>
  <c r="E30" i="4" s="1"/>
  <c r="D28" i="4"/>
  <c r="D30" i="4" s="1"/>
  <c r="C28" i="4"/>
  <c r="B28" i="4"/>
  <c r="F32" i="4"/>
  <c r="G24" i="4" s="1"/>
  <c r="H24" i="4" s="1"/>
  <c r="F29" i="4"/>
  <c r="F27" i="4"/>
  <c r="H10" i="4"/>
  <c r="H9" i="4"/>
  <c r="H8" i="4"/>
  <c r="H31" i="3"/>
  <c r="H29" i="3"/>
  <c r="H27" i="3"/>
  <c r="E15" i="31"/>
  <c r="E16" i="32"/>
  <c r="E14" i="32"/>
  <c r="G14" i="32" l="1"/>
  <c r="G16" i="32"/>
  <c r="E22" i="32"/>
  <c r="G22" i="32" s="1"/>
  <c r="E24" i="32"/>
  <c r="G24" i="32" s="1"/>
  <c r="E17" i="31"/>
  <c r="G15" i="31"/>
  <c r="G20" i="4"/>
  <c r="H20" i="4" s="1"/>
  <c r="G22" i="4"/>
  <c r="B25" i="4"/>
  <c r="AN20" i="3"/>
  <c r="AJ20" i="3"/>
  <c r="AG20" i="3"/>
  <c r="AF31" i="3" s="1"/>
  <c r="B30" i="4"/>
  <c r="H7" i="4"/>
  <c r="F28" i="4"/>
  <c r="C30" i="4"/>
  <c r="E23" i="31"/>
  <c r="E21" i="31"/>
  <c r="E15" i="32"/>
  <c r="G15" i="32" l="1"/>
  <c r="E17" i="32"/>
  <c r="G17" i="32" s="1"/>
  <c r="G21" i="31"/>
  <c r="G23" i="31"/>
  <c r="AK20" i="3"/>
  <c r="AL20" i="3" s="1"/>
  <c r="AI31" i="3"/>
  <c r="F30" i="4"/>
  <c r="G21" i="4"/>
  <c r="H21" i="4" s="1"/>
  <c r="G28" i="3"/>
  <c r="E23" i="32"/>
  <c r="E21" i="32"/>
  <c r="G21" i="32" l="1"/>
  <c r="G23" i="32"/>
  <c r="G23" i="4"/>
  <c r="H22" i="4" s="1"/>
  <c r="H23" i="4" s="1"/>
  <c r="E100" i="3"/>
  <c r="AM21" i="3"/>
  <c r="H28" i="3"/>
  <c r="H30" i="3" s="1"/>
  <c r="C100" i="3" l="1"/>
  <c r="F100" i="3"/>
  <c r="E103" i="3"/>
  <c r="K100" i="3"/>
  <c r="AH32" i="3"/>
  <c r="AS21" i="3"/>
  <c r="AM27" i="3"/>
  <c r="AM20" i="3" s="1"/>
  <c r="AO21" i="3"/>
  <c r="AQ21" i="3"/>
  <c r="F103" i="3" l="1"/>
  <c r="E99" i="3"/>
  <c r="K103" i="3"/>
  <c r="C103" i="3"/>
  <c r="I106" i="3" s="1"/>
  <c r="I103" i="3"/>
  <c r="AR21" i="3"/>
  <c r="AP21" i="3"/>
  <c r="AT21" i="3" s="1"/>
  <c r="AU20" i="3"/>
  <c r="AO20" i="3"/>
  <c r="AH31" i="3"/>
  <c r="AQ20" i="3"/>
  <c r="AS20" i="3"/>
  <c r="E29" i="13"/>
  <c r="E30" i="13" s="1"/>
  <c r="F30" i="13" s="1"/>
  <c r="F29" i="13" s="1"/>
  <c r="D29" i="13"/>
  <c r="D30" i="13" s="1"/>
  <c r="C29" i="13"/>
  <c r="F28" i="13"/>
  <c r="F24" i="13"/>
  <c r="E24" i="13"/>
  <c r="K23" i="13"/>
  <c r="K24" i="13" s="1"/>
  <c r="K20" i="13"/>
  <c r="G17" i="13"/>
  <c r="F16" i="13"/>
  <c r="E16" i="13" s="1"/>
  <c r="G10" i="13"/>
  <c r="F10" i="13"/>
  <c r="E10" i="13"/>
  <c r="D10" i="13"/>
  <c r="C10" i="13"/>
  <c r="G9" i="13"/>
  <c r="F9" i="13"/>
  <c r="F7" i="13" s="1"/>
  <c r="E9" i="13"/>
  <c r="D9" i="13"/>
  <c r="C9" i="13"/>
  <c r="G8" i="13"/>
  <c r="F8" i="13"/>
  <c r="E8" i="13"/>
  <c r="E7" i="13" s="1"/>
  <c r="D8" i="13"/>
  <c r="C8" i="13"/>
  <c r="C7" i="13" s="1"/>
  <c r="C6" i="13" s="1"/>
  <c r="G7" i="13"/>
  <c r="D7" i="13"/>
  <c r="D6" i="13" s="1"/>
  <c r="D3" i="13"/>
  <c r="C3" i="13"/>
  <c r="J74" i="20"/>
  <c r="J73" i="20"/>
  <c r="F73" i="20"/>
  <c r="J72" i="20"/>
  <c r="J71" i="20"/>
  <c r="M70" i="20"/>
  <c r="L70" i="20"/>
  <c r="K70" i="20"/>
  <c r="J70" i="20"/>
  <c r="I70" i="20"/>
  <c r="G70" i="20"/>
  <c r="F70" i="20"/>
  <c r="H69" i="20"/>
  <c r="M68" i="20"/>
  <c r="H68" i="20"/>
  <c r="G68" i="20"/>
  <c r="M67" i="20"/>
  <c r="H67" i="20"/>
  <c r="G67" i="20"/>
  <c r="M66" i="20"/>
  <c r="H66" i="20"/>
  <c r="G66" i="20"/>
  <c r="H65" i="20"/>
  <c r="G65" i="20"/>
  <c r="M64" i="20"/>
  <c r="H64" i="20"/>
  <c r="G64" i="20"/>
  <c r="M63" i="20"/>
  <c r="H63" i="20"/>
  <c r="G63" i="20"/>
  <c r="H62" i="20"/>
  <c r="H61" i="20"/>
  <c r="H60" i="20"/>
  <c r="H59" i="20"/>
  <c r="G59" i="20"/>
  <c r="M58" i="20"/>
  <c r="H58" i="20"/>
  <c r="G58" i="20"/>
  <c r="H57" i="20"/>
  <c r="H56" i="20"/>
  <c r="H55" i="20"/>
  <c r="M54" i="20"/>
  <c r="H54" i="20"/>
  <c r="G54" i="20"/>
  <c r="H53" i="20"/>
  <c r="M51" i="20"/>
  <c r="L51" i="20"/>
  <c r="K51" i="20"/>
  <c r="J51" i="20"/>
  <c r="I51" i="20"/>
  <c r="H51" i="20"/>
  <c r="G51" i="20"/>
  <c r="F51" i="20"/>
  <c r="H50" i="20"/>
  <c r="H49" i="20"/>
  <c r="H48" i="20"/>
  <c r="H47" i="20"/>
  <c r="H46" i="20"/>
  <c r="H45" i="20"/>
  <c r="H44" i="20"/>
  <c r="H43" i="20"/>
  <c r="H42" i="20"/>
  <c r="H41" i="20"/>
  <c r="H40" i="20"/>
  <c r="H39" i="20"/>
  <c r="H38" i="20"/>
  <c r="H37" i="20"/>
  <c r="H36" i="20"/>
  <c r="H35" i="20"/>
  <c r="H34" i="20"/>
  <c r="H33" i="20"/>
  <c r="H32" i="20"/>
  <c r="H31" i="20"/>
  <c r="H30" i="20"/>
  <c r="M29" i="20"/>
  <c r="H29" i="20"/>
  <c r="G29" i="20"/>
  <c r="M28" i="20"/>
  <c r="H28" i="20"/>
  <c r="G28" i="20"/>
  <c r="M27" i="20"/>
  <c r="H27" i="20"/>
  <c r="G27" i="20"/>
  <c r="M26" i="20"/>
  <c r="H26" i="20"/>
  <c r="G26" i="20"/>
  <c r="M25" i="20"/>
  <c r="H25" i="20"/>
  <c r="G25" i="20"/>
  <c r="M24" i="20"/>
  <c r="H24" i="20"/>
  <c r="G24" i="20"/>
  <c r="M23" i="20"/>
  <c r="H23" i="20"/>
  <c r="G23" i="20"/>
  <c r="M22" i="20"/>
  <c r="H22" i="20"/>
  <c r="G22" i="20"/>
  <c r="M21" i="20"/>
  <c r="H21" i="20"/>
  <c r="G21" i="20"/>
  <c r="M20" i="20"/>
  <c r="H20" i="20"/>
  <c r="G20" i="20"/>
  <c r="M19" i="20"/>
  <c r="H19" i="20"/>
  <c r="G19" i="20"/>
  <c r="M18" i="20"/>
  <c r="H18" i="20"/>
  <c r="G18" i="20"/>
  <c r="M17" i="20"/>
  <c r="H17" i="20"/>
  <c r="G17" i="20"/>
  <c r="M16" i="20"/>
  <c r="H16" i="20"/>
  <c r="G16" i="20"/>
  <c r="M15" i="20"/>
  <c r="H15" i="20"/>
  <c r="G15" i="20"/>
  <c r="M14" i="20"/>
  <c r="H14" i="20"/>
  <c r="G14" i="20"/>
  <c r="M13" i="20"/>
  <c r="H13" i="20"/>
  <c r="G13" i="20"/>
  <c r="M12" i="20"/>
  <c r="H12" i="20"/>
  <c r="G12" i="20"/>
  <c r="M11" i="20"/>
  <c r="H11" i="20"/>
  <c r="G11" i="20"/>
  <c r="M10" i="20"/>
  <c r="H10" i="20"/>
  <c r="G10" i="20"/>
  <c r="M9" i="20"/>
  <c r="H9" i="20"/>
  <c r="G9" i="20"/>
  <c r="M8" i="20"/>
  <c r="H8" i="20"/>
  <c r="G8" i="20"/>
  <c r="M7" i="20"/>
  <c r="H7" i="20"/>
  <c r="G7" i="20"/>
  <c r="M6" i="20"/>
  <c r="H6" i="20"/>
  <c r="G6" i="20"/>
  <c r="M5" i="20"/>
  <c r="H5" i="20"/>
  <c r="G5" i="20"/>
  <c r="M4" i="20"/>
  <c r="H4" i="20"/>
  <c r="G4" i="20"/>
  <c r="M3" i="20"/>
  <c r="H3" i="20"/>
  <c r="G3" i="20"/>
  <c r="M2" i="20"/>
  <c r="L2" i="20"/>
  <c r="K2" i="20"/>
  <c r="J2" i="20"/>
  <c r="I2" i="20"/>
  <c r="H2" i="20"/>
  <c r="G2" i="20"/>
  <c r="F2" i="20"/>
  <c r="G31" i="12"/>
  <c r="F31" i="12"/>
  <c r="G30" i="12"/>
  <c r="F30" i="12"/>
  <c r="G29" i="12"/>
  <c r="F29" i="12"/>
  <c r="G28" i="12"/>
  <c r="F28" i="12"/>
  <c r="G27" i="12"/>
  <c r="F27" i="12"/>
  <c r="G17" i="12"/>
  <c r="F17" i="12"/>
  <c r="G10" i="12"/>
  <c r="C10" i="12"/>
  <c r="B10" i="12"/>
  <c r="H9" i="12"/>
  <c r="G9" i="12"/>
  <c r="H8" i="12"/>
  <c r="G8" i="12"/>
  <c r="G7" i="12"/>
  <c r="C7" i="12"/>
  <c r="B7" i="12"/>
  <c r="F48" i="4"/>
  <c r="F46" i="4"/>
  <c r="E45" i="4"/>
  <c r="E47" i="4" s="1"/>
  <c r="D45" i="4"/>
  <c r="D47" i="4" s="1"/>
  <c r="C45" i="4"/>
  <c r="C47" i="4" s="1"/>
  <c r="B45" i="4"/>
  <c r="B47" i="4" s="1"/>
  <c r="F44" i="4"/>
  <c r="F41" i="4"/>
  <c r="F39" i="4"/>
  <c r="E38" i="4"/>
  <c r="E40" i="4" s="1"/>
  <c r="D38" i="4"/>
  <c r="D40" i="4" s="1"/>
  <c r="C38" i="4"/>
  <c r="C40" i="4" s="1"/>
  <c r="B38" i="4"/>
  <c r="F37" i="4"/>
  <c r="D23" i="4"/>
  <c r="C23" i="4"/>
  <c r="B23" i="4"/>
  <c r="G10" i="4"/>
  <c r="G9" i="4"/>
  <c r="G8" i="4"/>
  <c r="G30" i="3"/>
  <c r="AU21" i="3" s="1"/>
  <c r="E30" i="3"/>
  <c r="D30" i="3"/>
  <c r="F28" i="3"/>
  <c r="F30" i="3" s="1"/>
  <c r="G10" i="3"/>
  <c r="G7" i="3"/>
  <c r="G31" i="2"/>
  <c r="G30" i="2"/>
  <c r="F30" i="2"/>
  <c r="E30" i="2"/>
  <c r="D30" i="2"/>
  <c r="C30" i="2"/>
  <c r="B30" i="2"/>
  <c r="G29" i="2"/>
  <c r="G28" i="2"/>
  <c r="G27" i="2"/>
  <c r="D24" i="2"/>
  <c r="C24" i="2"/>
  <c r="G17" i="2"/>
  <c r="G16" i="2"/>
  <c r="Q11" i="2"/>
  <c r="Q10" i="2"/>
  <c r="P10" i="2"/>
  <c r="O10" i="2"/>
  <c r="G10" i="2"/>
  <c r="H9" i="2"/>
  <c r="G9" i="2"/>
  <c r="P8" i="2"/>
  <c r="O8" i="2"/>
  <c r="N8" i="2"/>
  <c r="M8" i="2"/>
  <c r="L8" i="2"/>
  <c r="H8" i="2"/>
  <c r="G8" i="2"/>
  <c r="P7" i="2"/>
  <c r="O7" i="2"/>
  <c r="N7" i="2"/>
  <c r="M7" i="2"/>
  <c r="L7" i="2"/>
  <c r="G7" i="2"/>
  <c r="P5" i="2"/>
  <c r="O5" i="2"/>
  <c r="P4" i="2"/>
  <c r="P3" i="2"/>
  <c r="G38" i="1"/>
  <c r="G37" i="1"/>
  <c r="G31" i="1"/>
  <c r="E30" i="1"/>
  <c r="D30" i="1"/>
  <c r="C30" i="1"/>
  <c r="B30" i="1"/>
  <c r="G29" i="1"/>
  <c r="G28" i="1"/>
  <c r="F28" i="1"/>
  <c r="G27" i="1"/>
  <c r="G24" i="1"/>
  <c r="F24" i="1"/>
  <c r="E24" i="1"/>
  <c r="F21" i="1"/>
  <c r="E21" i="1"/>
  <c r="G17" i="1"/>
  <c r="J16" i="1"/>
  <c r="G16" i="1"/>
  <c r="H9" i="1"/>
  <c r="G9" i="1"/>
  <c r="H8" i="1"/>
  <c r="G8" i="1"/>
  <c r="H7" i="1"/>
  <c r="G7" i="1"/>
  <c r="G4" i="1"/>
  <c r="E6" i="24"/>
  <c r="E2" i="19"/>
  <c r="C13" i="19"/>
  <c r="F4" i="19"/>
  <c r="E6" i="19"/>
  <c r="C2" i="19"/>
  <c r="B4" i="19"/>
  <c r="H14" i="19"/>
  <c r="F13" i="19"/>
  <c r="H5" i="19"/>
  <c r="F7" i="19"/>
  <c r="F15" i="19"/>
  <c r="F16" i="19"/>
  <c r="D15" i="19"/>
  <c r="D4" i="19"/>
  <c r="F14" i="19"/>
  <c r="E11" i="19"/>
  <c r="F5" i="19"/>
  <c r="C11" i="19"/>
  <c r="E4" i="19"/>
  <c r="H3" i="19"/>
  <c r="D14" i="19"/>
  <c r="E14" i="19"/>
  <c r="H16" i="19"/>
  <c r="E13" i="19"/>
  <c r="B13" i="19"/>
  <c r="F6" i="19"/>
  <c r="D13" i="19"/>
  <c r="H11" i="19"/>
  <c r="F11" i="19"/>
  <c r="B14" i="19"/>
  <c r="C5" i="19"/>
  <c r="B7" i="19"/>
  <c r="D2" i="19"/>
  <c r="E7" i="19"/>
  <c r="C7" i="19"/>
  <c r="C15" i="19"/>
  <c r="D7" i="19"/>
  <c r="H2" i="19"/>
  <c r="D3" i="19"/>
  <c r="C4" i="19"/>
  <c r="D6" i="19"/>
  <c r="C3" i="19"/>
  <c r="H15" i="19"/>
  <c r="H7" i="19"/>
  <c r="B5" i="19"/>
  <c r="E3" i="19"/>
  <c r="C14" i="19"/>
  <c r="H6" i="19"/>
  <c r="D11" i="19"/>
  <c r="D5" i="19"/>
  <c r="F2" i="19"/>
  <c r="B3" i="19"/>
  <c r="E5" i="19"/>
  <c r="B15" i="19"/>
  <c r="H4" i="19"/>
  <c r="E16" i="19"/>
  <c r="F3" i="19"/>
  <c r="E15" i="19"/>
  <c r="B16" i="19"/>
  <c r="B6" i="19"/>
  <c r="C6" i="19"/>
  <c r="B11" i="19"/>
  <c r="B2" i="19"/>
  <c r="D16" i="19"/>
  <c r="H13" i="19"/>
  <c r="C16" i="19"/>
  <c r="E9" i="24" l="1"/>
  <c r="F9" i="24" s="1"/>
  <c r="F6" i="24"/>
  <c r="K25" i="13"/>
  <c r="D16" i="13"/>
  <c r="E17" i="13"/>
  <c r="F17" i="13"/>
  <c r="AJ32" i="3"/>
  <c r="F99" i="3"/>
  <c r="C99" i="3"/>
  <c r="I102" i="3" s="1"/>
  <c r="K99" i="3"/>
  <c r="AP20" i="3"/>
  <c r="AR20" i="3"/>
  <c r="G7" i="4"/>
  <c r="F38" i="4"/>
  <c r="F40" i="4" s="1"/>
  <c r="B40" i="4"/>
  <c r="F45" i="4"/>
  <c r="F47" i="4" s="1"/>
  <c r="G4" i="19"/>
  <c r="C8" i="19"/>
  <c r="D9" i="19"/>
  <c r="E10" i="19"/>
  <c r="F17" i="19"/>
  <c r="B9" i="19"/>
  <c r="G6" i="19"/>
  <c r="H12" i="19"/>
  <c r="E17" i="19"/>
  <c r="D8" i="19"/>
  <c r="F10" i="19"/>
  <c r="E8" i="19"/>
  <c r="F9" i="19"/>
  <c r="C12" i="19"/>
  <c r="H17" i="19"/>
  <c r="C10" i="19"/>
  <c r="G14" i="19"/>
  <c r="B8" i="19"/>
  <c r="G5" i="19"/>
  <c r="G2" i="19"/>
  <c r="F8" i="19"/>
  <c r="H10" i="19"/>
  <c r="D12" i="19"/>
  <c r="D17" i="19"/>
  <c r="C9" i="19"/>
  <c r="G13" i="19"/>
  <c r="E9" i="19"/>
  <c r="H9" i="19"/>
  <c r="E12" i="19"/>
  <c r="B17" i="19"/>
  <c r="G16" i="19"/>
  <c r="D10" i="19"/>
  <c r="G3" i="19"/>
  <c r="G11" i="19"/>
  <c r="B12" i="19"/>
  <c r="H8" i="19"/>
  <c r="B10" i="19"/>
  <c r="G7" i="19"/>
  <c r="F12" i="19"/>
  <c r="G15" i="19"/>
  <c r="C17" i="19"/>
  <c r="B19" i="19"/>
  <c r="B18" i="19"/>
  <c r="C18" i="19"/>
  <c r="E19" i="19"/>
  <c r="E20" i="19"/>
  <c r="B20" i="19"/>
  <c r="C20" i="19"/>
  <c r="D19" i="19"/>
  <c r="D20" i="19"/>
  <c r="F19" i="19"/>
  <c r="H19" i="19"/>
  <c r="F20" i="19"/>
  <c r="E18" i="19"/>
  <c r="H20" i="19"/>
  <c r="H18" i="19"/>
  <c r="F18" i="19"/>
  <c r="D18" i="19"/>
  <c r="C19" i="19"/>
  <c r="G8" i="19" l="1"/>
  <c r="C16" i="13"/>
  <c r="C17" i="13" s="1"/>
  <c r="D17" i="13"/>
  <c r="AT20" i="3"/>
  <c r="AJ31" i="3" s="1"/>
  <c r="G17" i="19"/>
  <c r="G12" i="19"/>
  <c r="G10" i="19"/>
  <c r="C22" i="19"/>
  <c r="D21" i="19"/>
  <c r="F22" i="19"/>
  <c r="G20" i="19"/>
  <c r="B21" i="19"/>
  <c r="G18" i="19"/>
  <c r="E21" i="19"/>
  <c r="C21" i="19"/>
  <c r="D22" i="19"/>
  <c r="G19" i="19"/>
  <c r="B22" i="19"/>
  <c r="F21" i="19"/>
  <c r="H21" i="19"/>
  <c r="E22" i="19"/>
  <c r="G9" i="19"/>
  <c r="G22" i="19" l="1"/>
  <c r="G21" i="19"/>
</calcChain>
</file>

<file path=xl/comments1.xml><?xml version="1.0" encoding="utf-8"?>
<comments xmlns="http://schemas.openxmlformats.org/spreadsheetml/2006/main">
  <authors>
    <author>Christoph</author>
  </authors>
  <commentList>
    <comment ref="H6" authorId="0" shapeId="0">
      <text>
        <r>
          <rPr>
            <b/>
            <sz val="9"/>
            <color indexed="81"/>
            <rFont val="Segoe UI"/>
            <family val="2"/>
          </rPr>
          <t>Christoph:</t>
        </r>
        <r>
          <rPr>
            <sz val="9"/>
            <color indexed="81"/>
            <rFont val="Segoe UI"/>
            <family val="2"/>
          </rPr>
          <t xml:space="preserve">
The Company’s effective tax rate for 2022 was lower than the statutory federal income tax rate due primarily to a lower effective 
tax rate on foreign earnings, tax benefits from share-based compensation and the impact of the U.S. federal R&amp;D credit, partially 
offset by state income taxes. The Company’s effective tax rate for 2021 was lower than the statutory federal income tax rate due 
primarily to a lower effective tax rate on foreign earnings, tax benefits from share-based compensation and foreign-derived 
intangible income deductions.
The Company’s effective tax rate for 2022 was higher compared to 2021 due primarily to a higher effective tax rate on foreign 
earnings, including the impact to U.S. foreign tax credits as a result of regulatory guidance issued by the U.S. Department of the 
Treasury in 2022, and lower tax benefits from foreign-derived intangible income deductions and share-based compensation.
</t>
        </r>
      </text>
    </comment>
  </commentList>
</comments>
</file>

<file path=xl/comments2.xml><?xml version="1.0" encoding="utf-8"?>
<comments xmlns="http://schemas.openxmlformats.org/spreadsheetml/2006/main">
  <authors>
    <author>Christoph</author>
    <author/>
  </authors>
  <commentList>
    <comment ref="H14" authorId="0" shapeId="0">
      <text>
        <r>
          <rPr>
            <b/>
            <sz val="9"/>
            <color indexed="81"/>
            <rFont val="Segoe UI"/>
            <family val="2"/>
          </rPr>
          <t>Christoph:</t>
        </r>
        <r>
          <rPr>
            <sz val="9"/>
            <color indexed="81"/>
            <rFont val="Segoe UI"/>
            <family val="2"/>
          </rPr>
          <t xml:space="preserve">
eadcount was 86,482 as of December 31, 2022, an increase of 20% year-over-year. Our reported headcount includes a substantial majority of the
approximately 11,000 employees impacted by the layoff we announced in November 2022, who will no longer be reflected in our headcount by the end
of the first quarter of 2023.
</t>
        </r>
      </text>
    </comment>
    <comment ref="F17" authorId="0" shapeId="0">
      <text>
        <r>
          <rPr>
            <b/>
            <sz val="9"/>
            <color indexed="81"/>
            <rFont val="Segoe UI"/>
            <family val="2"/>
          </rPr>
          <t>Christoph:</t>
        </r>
        <r>
          <rPr>
            <sz val="9"/>
            <color indexed="81"/>
            <rFont val="Segoe UI"/>
            <family val="2"/>
          </rPr>
          <t xml:space="preserve">
Basierend auf Facebook-Nutzerzahlen und Pro-Kopf Umsätzen</t>
        </r>
      </text>
    </comment>
    <comment ref="C18" authorId="1"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 ref="D18" authorId="1"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List>
</comments>
</file>

<file path=xl/comments3.xml><?xml version="1.0" encoding="utf-8"?>
<comments xmlns="http://schemas.openxmlformats.org/spreadsheetml/2006/main">
  <authors>
    <author>Christoph</author>
    <author/>
  </authors>
  <commentList>
    <comment ref="H6" authorId="0" shapeId="0">
      <text>
        <r>
          <rPr>
            <b/>
            <sz val="9"/>
            <color indexed="81"/>
            <rFont val="Segoe UI"/>
            <family val="2"/>
          </rPr>
          <t>Christoph:</t>
        </r>
        <r>
          <rPr>
            <sz val="9"/>
            <color indexed="81"/>
            <rFont val="Segoe UI"/>
            <family val="2"/>
          </rPr>
          <t xml:space="preserve">
n 2022, there was an increase in the U.S. Foreign Derived Intangible Income tax deduction from the effects of 
capitalization and amortization of R&amp;D expenses in 2022 as required by the 2017 Tax Cuts and Jobs Act.</t>
        </r>
      </text>
    </comment>
    <comment ref="H9" authorId="0" shapeId="0">
      <text>
        <r>
          <rPr>
            <b/>
            <sz val="9"/>
            <color indexed="81"/>
            <rFont val="Segoe UI"/>
            <family val="2"/>
          </rPr>
          <t>Christoph:</t>
        </r>
        <r>
          <rPr>
            <sz val="9"/>
            <color indexed="81"/>
            <rFont val="Segoe UI"/>
            <family val="2"/>
          </rPr>
          <t xml:space="preserve">
As required by the 2017 Tax Cuts and Jobs Act, effective January 1, 2022, our research and development expenditures were 
capitalized and amortized which resulted in substantially higher cash taxes for 2022 with an equal amount of deferred tax 
benefit.</t>
        </r>
      </text>
    </comment>
    <comment ref="D14" authorId="1" shapeId="0">
      <text>
        <r>
          <rPr>
            <sz val="11"/>
            <color rgb="FF000000"/>
            <rFont val="Calibri"/>
            <family val="2"/>
          </rPr>
          <t xml:space="preserve">Christoph Trautvetter:
</t>
        </r>
        <r>
          <rPr>
            <sz val="9"/>
            <color rgb="FF000000"/>
            <rFont val="Tahoma"/>
            <family val="2"/>
            <charset val="1"/>
          </rPr>
          <t>zum 31.12.2018</t>
        </r>
      </text>
    </comment>
    <comment ref="F26" authorId="0" shapeId="0">
      <text>
        <r>
          <rPr>
            <b/>
            <sz val="9"/>
            <color indexed="81"/>
            <rFont val="Segoe UI"/>
            <family val="2"/>
          </rPr>
          <t>Christoph:</t>
        </r>
        <r>
          <rPr>
            <sz val="9"/>
            <color indexed="81"/>
            <rFont val="Segoe UI"/>
            <family val="2"/>
          </rPr>
          <t xml:space="preserve">
Extrapoliert von 2019 basierend auf globalen Kennzahlen von 2020
</t>
        </r>
      </text>
    </comment>
    <comment ref="L28" authorId="1" shapeId="0">
      <text>
        <r>
          <rPr>
            <sz val="11"/>
            <color rgb="FF000000"/>
            <rFont val="Calibri"/>
            <family val="2"/>
          </rPr>
          <t xml:space="preserve">Christoph Trautvetter:
</t>
        </r>
        <r>
          <rPr>
            <sz val="9"/>
            <color rgb="FF000000"/>
            <rFont val="Tahoma"/>
            <family val="2"/>
            <charset val="1"/>
          </rPr>
          <t>zum 31.12.2018</t>
        </r>
      </text>
    </comment>
    <comment ref="G98" authorId="0" shapeId="0">
      <text>
        <r>
          <rPr>
            <b/>
            <sz val="9"/>
            <color indexed="81"/>
            <rFont val="Segoe UI"/>
            <family val="2"/>
          </rPr>
          <t>Christoph:</t>
        </r>
        <r>
          <rPr>
            <sz val="9"/>
            <color indexed="81"/>
            <rFont val="Segoe UI"/>
            <family val="2"/>
          </rPr>
          <t xml:space="preserve">
308m tax exemptions and rebates</t>
        </r>
      </text>
    </comment>
  </commentList>
</comments>
</file>

<file path=xl/comments4.xml><?xml version="1.0" encoding="utf-8"?>
<comments xmlns="http://schemas.openxmlformats.org/spreadsheetml/2006/main">
  <authors>
    <author>Christoph</author>
  </authors>
  <commentList>
    <comment ref="H14" authorId="0" shapeId="0">
      <text>
        <r>
          <rPr>
            <b/>
            <sz val="9"/>
            <color indexed="81"/>
            <rFont val="Segoe UI"/>
            <charset val="1"/>
          </rPr>
          <t>Christoph:</t>
        </r>
        <r>
          <rPr>
            <sz val="9"/>
            <color indexed="81"/>
            <rFont val="Segoe UI"/>
            <charset val="1"/>
          </rPr>
          <t xml:space="preserve">
Gleiche Anzahl wie 2022 aber 101 international, davor 99
</t>
        </r>
      </text>
    </comment>
  </commentList>
</comments>
</file>

<file path=xl/comments5.xml><?xml version="1.0" encoding="utf-8"?>
<comments xmlns="http://schemas.openxmlformats.org/spreadsheetml/2006/main">
  <authors>
    <author>Christoph</author>
  </authors>
  <commentList>
    <comment ref="H3" authorId="0" shapeId="0">
      <text>
        <r>
          <rPr>
            <b/>
            <sz val="9"/>
            <color indexed="81"/>
            <rFont val="Segoe UI"/>
            <family val="2"/>
          </rPr>
          <t>Christoph:</t>
        </r>
        <r>
          <rPr>
            <sz val="9"/>
            <color indexed="81"/>
            <rFont val="Segoe UI"/>
            <family val="2"/>
          </rPr>
          <t xml:space="preserve">
Kosten steigen schneller als Einnahmen, großer Effekt (20 Mrd.) aus Rivianbewertung: Vorjahr +10 jetzt -10</t>
        </r>
      </text>
    </comment>
  </commentList>
</comments>
</file>

<file path=xl/comments6.xml><?xml version="1.0" encoding="utf-8"?>
<comments xmlns="http://schemas.openxmlformats.org/spreadsheetml/2006/main">
  <authors>
    <author/>
    <author>Christoph</author>
  </authors>
  <commentList>
    <comment ref="G14" authorId="0" shapeId="0">
      <text>
        <r>
          <rPr>
            <sz val="11"/>
            <color rgb="FF000000"/>
            <rFont val="Calibri"/>
            <family val="2"/>
          </rPr>
          <t xml:space="preserve">Christoph Trautvetter:
</t>
        </r>
        <r>
          <rPr>
            <sz val="9"/>
            <color rgb="FF000000"/>
            <rFont val="Tahoma"/>
            <family val="2"/>
            <charset val="1"/>
          </rPr>
          <t>7.600= 81% in USA, 1.000= 11% in Kanada, 200 = 2% in EMEA</t>
        </r>
      </text>
    </comment>
    <comment ref="G16" authorId="0" shapeId="0">
      <text>
        <r>
          <rPr>
            <sz val="11"/>
            <color rgb="FF000000"/>
            <rFont val="Calibri"/>
            <family val="2"/>
          </rPr>
          <t xml:space="preserve">Christoph Trautvetter:
</t>
        </r>
        <r>
          <rPr>
            <sz val="9"/>
            <color rgb="FF000000"/>
            <rFont val="Tahoma"/>
            <family val="2"/>
            <charset val="1"/>
          </rPr>
          <t xml:space="preserve">• https://www.kantar.com/campaigns/svod-market-share (Neukunden für das Quartal 1 + 2/2021 nach Anbieter, davon Netflix: 24,4% und 20,2%)
• https://www.tagesschau.de/wirtschaft/unternehmen/netflix-streaming-nutzer-quartalsbericht-101.html (Umfrage Marktforschungsinstitut GfK April/Mai 2020: mindestens ein monatliches Streaming-Abo bei 54% der Gesamtbevölkerung, 49% in 2019, 41% in 2018)
• https://www.kino.de/unternehmen/netflix/news/streamingdienste-in-deutschland-ist-netflix-amazon-oder-disney-plus-am-erfolgreichsten/ (Just Watch, Streamingdauer für Januar, Februar und März 2021 nach Anbieter, Marktanteil Netflix: 32%)
• https://www.mckinsey.de/news/presse/video-streaming-jeder-zweite-deutsche-haushalt-nutzt-netflix-amazon-prime (Umfrage YouGov, Januar bis April 2019: 27% mit einem Streaming-Dienst, 16% zwei, 10% drei, Netflix mit Marktanteil von 28%)
• https://de.statista.com/statistik/daten/studie/327991/umfrage/prognose-zur-anzahl-der-netflix-abonnenten-weltweit/ (Digital TV Research Prognose für 2020: 11,33 Millionen Abonennten in Deutschland)
</t>
        </r>
      </text>
    </comment>
    <comment ref="D18" authorId="0"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 ref="J22" authorId="1" shapeId="0">
      <text>
        <r>
          <rPr>
            <b/>
            <sz val="9"/>
            <color indexed="81"/>
            <rFont val="Segoe UI"/>
            <family val="2"/>
          </rPr>
          <t>Christoph:</t>
        </r>
        <r>
          <rPr>
            <sz val="9"/>
            <color indexed="81"/>
            <rFont val="Segoe UI"/>
            <family val="2"/>
          </rPr>
          <t xml:space="preserve">
membership zahlen weichen leicht ab (ab 2016: </t>
        </r>
      </text>
    </comment>
  </commentList>
</comments>
</file>

<file path=xl/comments7.xml><?xml version="1.0" encoding="utf-8"?>
<comments xmlns="http://schemas.openxmlformats.org/spreadsheetml/2006/main">
  <authors>
    <author>Christoph</author>
  </authors>
  <commentList>
    <comment ref="Z2" authorId="0" shapeId="0">
      <text>
        <r>
          <rPr>
            <b/>
            <sz val="9"/>
            <color indexed="81"/>
            <rFont val="Segoe UI"/>
            <family val="2"/>
          </rPr>
          <t>Christoph:</t>
        </r>
        <r>
          <rPr>
            <sz val="9"/>
            <color indexed="81"/>
            <rFont val="Segoe UI"/>
            <family val="2"/>
          </rPr>
          <t xml:space="preserve">
https://last10k.com/sec-filings/pcln/0001104659-10-008002.htm#ConsolidatedStatementsOfOperation_121316</t>
        </r>
      </text>
    </comment>
    <comment ref="B4" authorId="0" shapeId="0">
      <text>
        <r>
          <rPr>
            <b/>
            <sz val="9"/>
            <color indexed="81"/>
            <rFont val="Segoe UI"/>
            <charset val="1"/>
          </rPr>
          <t>Christoph:</t>
        </r>
        <r>
          <rPr>
            <sz val="9"/>
            <color indexed="81"/>
            <rFont val="Segoe UI"/>
            <charset val="1"/>
          </rPr>
          <t xml:space="preserve">
21,2 Mio. Nachzahlung</t>
        </r>
      </text>
    </comment>
    <comment ref="D7" authorId="0" shapeId="0">
      <text>
        <r>
          <rPr>
            <b/>
            <sz val="9"/>
            <color indexed="81"/>
            <rFont val="Segoe UI"/>
            <charset val="1"/>
          </rPr>
          <t>Christoph:</t>
        </r>
        <r>
          <rPr>
            <sz val="9"/>
            <color indexed="81"/>
            <rFont val="Segoe UI"/>
            <charset val="1"/>
          </rPr>
          <t xml:space="preserve">
gesunken von 142</t>
        </r>
      </text>
    </comment>
    <comment ref="AI15" authorId="0" shapeId="0">
      <text>
        <r>
          <rPr>
            <b/>
            <sz val="9"/>
            <color indexed="81"/>
            <rFont val="Segoe UI"/>
            <charset val="1"/>
          </rPr>
          <t>Christoph:</t>
        </r>
        <r>
          <rPr>
            <sz val="9"/>
            <color indexed="81"/>
            <rFont val="Segoe UI"/>
            <charset val="1"/>
          </rPr>
          <t xml:space="preserve">
2.11.2005 = 50, 21.9.2006 = 150</t>
        </r>
      </text>
    </comment>
    <comment ref="X19" authorId="0" shapeId="0">
      <text>
        <r>
          <rPr>
            <b/>
            <sz val="9"/>
            <color indexed="81"/>
            <rFont val="Segoe UI"/>
            <family val="2"/>
          </rPr>
          <t>Christoph:</t>
        </r>
        <r>
          <rPr>
            <sz val="9"/>
            <color indexed="81"/>
            <rFont val="Segoe UI"/>
            <family val="2"/>
          </rPr>
          <t xml:space="preserve">
https://last10k.com/sec-filings/pcln/0001104659-10-008002.htm#ConsolidatedStatementsOfOperation_121316</t>
        </r>
      </text>
    </comment>
    <comment ref="B48" authorId="0" shapeId="0">
      <text>
        <r>
          <rPr>
            <b/>
            <sz val="9"/>
            <color indexed="81"/>
            <rFont val="Segoe UI"/>
            <charset val="1"/>
          </rPr>
          <t>Christoph:</t>
        </r>
        <r>
          <rPr>
            <sz val="9"/>
            <color indexed="81"/>
            <rFont val="Segoe UI"/>
            <charset val="1"/>
          </rPr>
          <t xml:space="preserve">
21,2 Mio. Nachzahlung</t>
        </r>
      </text>
    </comment>
    <comment ref="D51" authorId="0" shapeId="0">
      <text>
        <r>
          <rPr>
            <b/>
            <sz val="9"/>
            <color indexed="81"/>
            <rFont val="Segoe UI"/>
            <charset val="1"/>
          </rPr>
          <t>Christoph:</t>
        </r>
        <r>
          <rPr>
            <sz val="9"/>
            <color indexed="81"/>
            <rFont val="Segoe UI"/>
            <charset val="1"/>
          </rPr>
          <t xml:space="preserve">
gesunken von 142</t>
        </r>
      </text>
    </comment>
    <comment ref="D54" authorId="0" shapeId="0">
      <text>
        <r>
          <rPr>
            <b/>
            <sz val="9"/>
            <color indexed="81"/>
            <rFont val="Segoe UI"/>
            <charset val="1"/>
          </rPr>
          <t>Christoph:</t>
        </r>
        <r>
          <rPr>
            <sz val="9"/>
            <color indexed="81"/>
            <rFont val="Segoe UI"/>
            <charset val="1"/>
          </rPr>
          <t xml:space="preserve">
21,2 Mio. Nachzahlung</t>
        </r>
      </text>
    </comment>
    <comment ref="G56" authorId="0" shapeId="0">
      <text>
        <r>
          <rPr>
            <b/>
            <sz val="9"/>
            <color indexed="81"/>
            <rFont val="Segoe UI"/>
            <charset val="1"/>
          </rPr>
          <t>Christoph:</t>
        </r>
        <r>
          <rPr>
            <sz val="9"/>
            <color indexed="81"/>
            <rFont val="Segoe UI"/>
            <charset val="1"/>
          </rPr>
          <t xml:space="preserve">
gesunken von 142</t>
        </r>
      </text>
    </comment>
    <comment ref="D60" authorId="0" shapeId="0">
      <text>
        <r>
          <rPr>
            <b/>
            <sz val="9"/>
            <color indexed="81"/>
            <rFont val="Segoe UI"/>
            <charset val="1"/>
          </rPr>
          <t>Christoph:</t>
        </r>
        <r>
          <rPr>
            <sz val="9"/>
            <color indexed="81"/>
            <rFont val="Segoe UI"/>
            <charset val="1"/>
          </rPr>
          <t xml:space="preserve">
21,2 Mio. Nachzahlung</t>
        </r>
      </text>
    </comment>
    <comment ref="G62" authorId="0" shapeId="0">
      <text>
        <r>
          <rPr>
            <b/>
            <sz val="9"/>
            <color indexed="81"/>
            <rFont val="Segoe UI"/>
            <charset val="1"/>
          </rPr>
          <t>Christoph:</t>
        </r>
        <r>
          <rPr>
            <sz val="9"/>
            <color indexed="81"/>
            <rFont val="Segoe UI"/>
            <charset val="1"/>
          </rPr>
          <t xml:space="preserve">
gesunken von 142</t>
        </r>
      </text>
    </comment>
    <comment ref="B67" authorId="0" shapeId="0">
      <text>
        <r>
          <rPr>
            <b/>
            <sz val="9"/>
            <color indexed="81"/>
            <rFont val="Segoe UI"/>
            <charset val="1"/>
          </rPr>
          <t>Christoph:</t>
        </r>
        <r>
          <rPr>
            <sz val="9"/>
            <color indexed="81"/>
            <rFont val="Segoe UI"/>
            <charset val="1"/>
          </rPr>
          <t xml:space="preserve">
21,2 Mio. Nachzahlung</t>
        </r>
      </text>
    </comment>
    <comment ref="D70" authorId="0" shapeId="0">
      <text>
        <r>
          <rPr>
            <b/>
            <sz val="9"/>
            <color indexed="81"/>
            <rFont val="Segoe UI"/>
            <charset val="1"/>
          </rPr>
          <t>Christoph:</t>
        </r>
        <r>
          <rPr>
            <sz val="9"/>
            <color indexed="81"/>
            <rFont val="Segoe UI"/>
            <charset val="1"/>
          </rPr>
          <t xml:space="preserve">
gesunken von 142</t>
        </r>
      </text>
    </comment>
  </commentList>
</comments>
</file>

<file path=xl/sharedStrings.xml><?xml version="1.0" encoding="utf-8"?>
<sst xmlns="http://schemas.openxmlformats.org/spreadsheetml/2006/main" count="3320" uniqueCount="1384">
  <si>
    <t>2016</t>
  </si>
  <si>
    <t>2017</t>
  </si>
  <si>
    <t>2018</t>
  </si>
  <si>
    <t>2019</t>
  </si>
  <si>
    <t>2020</t>
  </si>
  <si>
    <t>Umsatz</t>
  </si>
  <si>
    <t>Umsatz_EMEA</t>
  </si>
  <si>
    <t>Umsatz pro Mitglied/Monat</t>
  </si>
  <si>
    <t>Umsatz Deutschland (geschätzt)</t>
  </si>
  <si>
    <t>Umsatzanteil Deutschland (geschätzt)</t>
  </si>
  <si>
    <t>Gewinn (vor Steuern)</t>
  </si>
  <si>
    <t>davon USA</t>
  </si>
  <si>
    <t>davon Ausland</t>
  </si>
  <si>
    <t>Steuern</t>
  </si>
  <si>
    <t>current</t>
  </si>
  <si>
    <t>deferred</t>
  </si>
  <si>
    <t>Steuersatz</t>
  </si>
  <si>
    <t>Mitarbeiter Deutschland</t>
  </si>
  <si>
    <t>Deutschland (€)</t>
  </si>
  <si>
    <t xml:space="preserve">Gewinn 
(vor Steuern) </t>
  </si>
  <si>
    <t>Steuern (geschätzt)</t>
  </si>
  <si>
    <t>Steuersatz 
(Steuern/Gewinn)</t>
  </si>
  <si>
    <t>Mitarbeiter</t>
  </si>
  <si>
    <t xml:space="preserve">Gewinn </t>
  </si>
  <si>
    <t>Global US$</t>
  </si>
  <si>
    <t>Abonennten weltweit (Jahresende)</t>
  </si>
  <si>
    <t>Abonennten EMEA</t>
  </si>
  <si>
    <t>Abonennten Deutschland</t>
  </si>
  <si>
    <t>Total average revenue per user per 
Year in Europe</t>
  </si>
  <si>
    <t>Total average revenue per user per 
Year in US&amp;Canada</t>
  </si>
  <si>
    <t>Total average revenue per user per 
Year in Germany [estimated]</t>
  </si>
  <si>
    <t>Number of FB users in Germany (average)</t>
  </si>
  <si>
    <t>Mitarbeiter weltweit</t>
  </si>
  <si>
    <t>Achtung: Multipliziert mit dt Unternehmenssteuersatz 0,3 fehlte in dieser Zeile. Habe ihn hinzugefügt.</t>
  </si>
  <si>
    <t>Umsatz EMEA</t>
  </si>
  <si>
    <t>U.S. federal statutory tax rate</t>
  </si>
  <si>
    <t>21.0 </t>
  </si>
  <si>
    <t>State and local income taxes</t>
  </si>
  <si>
    <t>(0.4)</t>
  </si>
  <si>
    <t>1.1 </t>
  </si>
  <si>
    <t>Federal research credit</t>
  </si>
  <si>
    <t>(2.4)</t>
  </si>
  <si>
    <t>(2.5)</t>
  </si>
  <si>
    <t>(2.3)</t>
  </si>
  <si>
    <t>Stock-based compensation expense</t>
  </si>
  <si>
    <t>(2.2)</t>
  </si>
  <si>
    <t>(0.7)</t>
  </si>
  <si>
    <t>(1.7)</t>
  </si>
  <si>
    <t>Foreign income taxed at different rates</t>
  </si>
  <si>
    <t>(4.4)</t>
  </si>
  <si>
    <t>(4.9)</t>
  </si>
  <si>
    <t>(0.3)</t>
  </si>
  <si>
    <t>Impact of the Tax Cuts and Jobs Act</t>
  </si>
  <si>
    <t>(1.3)</t>
  </si>
  <si>
    <t>(0.6)</t>
  </si>
  <si>
    <t>0.0 </t>
  </si>
  <si>
    <t>Foreign-derived intangible income deduction</t>
  </si>
  <si>
    <t>(0.5)</t>
  </si>
  <si>
    <t>(3.0)</t>
  </si>
  <si>
    <t>European Commission fines</t>
  </si>
  <si>
    <t>3.1 </t>
  </si>
  <si>
    <t>1.0 </t>
  </si>
  <si>
    <t>Deferred tax asset valuation allowance</t>
  </si>
  <si>
    <t>(2.0)</t>
  </si>
  <si>
    <t>1.4 </t>
  </si>
  <si>
    <t>Other adjustments</t>
  </si>
  <si>
    <t>Alphabet (USD)</t>
  </si>
  <si>
    <t>2016/17</t>
  </si>
  <si>
    <t>2017/18</t>
  </si>
  <si>
    <t>2018/19</t>
  </si>
  <si>
    <t>2019/20</t>
  </si>
  <si>
    <t>2020/21</t>
  </si>
  <si>
    <t>Apple</t>
  </si>
  <si>
    <t>Microsoft</t>
  </si>
  <si>
    <t>Gesamt</t>
  </si>
  <si>
    <t>Gewinn</t>
  </si>
  <si>
    <t>USA</t>
  </si>
  <si>
    <t>China</t>
  </si>
  <si>
    <t>Alphabet</t>
  </si>
  <si>
    <t>Switzerland</t>
  </si>
  <si>
    <t>Japan</t>
  </si>
  <si>
    <t>United Kingdom</t>
  </si>
  <si>
    <t>France</t>
  </si>
  <si>
    <t>Russia</t>
  </si>
  <si>
    <t>Australia</t>
  </si>
  <si>
    <t>Ireland</t>
  </si>
  <si>
    <t>Luxembourg</t>
  </si>
  <si>
    <t>Canada</t>
  </si>
  <si>
    <t>Brazil</t>
  </si>
  <si>
    <t>Spain</t>
  </si>
  <si>
    <t>Germany</t>
  </si>
  <si>
    <t>Netflix</t>
  </si>
  <si>
    <t>Singapore</t>
  </si>
  <si>
    <t>SUMME</t>
  </si>
  <si>
    <t>Deutschland</t>
  </si>
  <si>
    <t>Gewinnanteil</t>
  </si>
  <si>
    <t>na</t>
  </si>
  <si>
    <t>Formelfehler?</t>
  </si>
  <si>
    <t>Niederlande (Netflix International Holdings B.V.), €</t>
  </si>
  <si>
    <t>https://www.macrotrends.net/2548/euro-dollar-exchange-rate-historical-chart</t>
  </si>
  <si>
    <t>year-end</t>
  </si>
  <si>
    <t>1,05</t>
  </si>
  <si>
    <t>1,20</t>
  </si>
  <si>
    <t>1,15</t>
  </si>
  <si>
    <t>1,12</t>
  </si>
  <si>
    <t>1,22</t>
  </si>
  <si>
    <t>Amazon</t>
  </si>
  <si>
    <t>Global</t>
  </si>
  <si>
    <t>Verkaufszahlen iPhone Deutschland</t>
  </si>
  <si>
    <t>Verkaufszahlen iPhone weltweit</t>
  </si>
  <si>
    <t>https://de.statista.com/statistik/daten/studie/203584/umfrage/absatz-von-apple-iphones-seit-dem-geschaeftsjahr-2007/</t>
  </si>
  <si>
    <t>Quelle</t>
  </si>
  <si>
    <t>Apple Operations International USD (Irland)</t>
  </si>
  <si>
    <t>Verkaufszahlen weltweit</t>
  </si>
  <si>
    <t>Verkaufszahlen Deutschland</t>
  </si>
  <si>
    <t>Steueroase (€)</t>
  </si>
  <si>
    <t>Quellen</t>
  </si>
  <si>
    <t>Steuern (cashflow)</t>
  </si>
  <si>
    <t>full-time equivalent employees</t>
  </si>
  <si>
    <t>Note 5</t>
  </si>
  <si>
    <t>Note 9</t>
  </si>
  <si>
    <t>Calc</t>
  </si>
  <si>
    <t>Luxemburg (€)</t>
  </si>
  <si>
    <t>Die Gesellschaft erzielt ihre Umsatzerlöse im Wesentlichen durch Dienstleistungen an andere verbundene Unternehmen innerhalb des Apple Konzerns. Diese Dienstleistungsvereinbarungen werden regelmäßig überprüft, um sicherzustellen, dass sie auch weiterhin dem Grundsatz des Fremdvergleichs entsprechen, wobei alle Entwicklungen in den Aktivitäten des Unternehmens, Änderungen im Geschäftsumfeld und Veränderungen auf dem Markt berücksichtigt werden. Die Dienstleistungen beziehen sich in erster Linie auf Vertriebsunterstützung und Marketingaktivitäten.</t>
  </si>
  <si>
    <t>(seit 2021 nur noch befreiender Konzernabschluss)</t>
  </si>
  <si>
    <t>Apple Operations International</t>
  </si>
  <si>
    <t>Cash taxes paid</t>
  </si>
  <si>
    <t>Gewinn vor Steuern</t>
  </si>
  <si>
    <t>Steuern global (current)</t>
  </si>
  <si>
    <t>Steuern global (total P&amp;L)</t>
  </si>
  <si>
    <t>Steuern global (cashflow)</t>
  </si>
  <si>
    <t>Steuersatz global (total P&amp;L)</t>
  </si>
  <si>
    <t>Steuersatz global (current)</t>
  </si>
  <si>
    <t>Steuersatz global (cashflow)</t>
  </si>
  <si>
    <t>Meta</t>
  </si>
  <si>
    <t>Gewinn Ausland</t>
  </si>
  <si>
    <t>Gewinnanteil Ausland</t>
  </si>
  <si>
    <t>Geschätzter Umsatzanteil Deutschland</t>
  </si>
  <si>
    <t>Geschätzter Gewinnanteil Deutschland</t>
  </si>
  <si>
    <t>Mitarbeiter global</t>
  </si>
  <si>
    <t>Geschätzte Steuern Deutschland</t>
  </si>
  <si>
    <t>Differenz</t>
  </si>
  <si>
    <t>Mitarbeiteranteil Deutschland</t>
  </si>
  <si>
    <t>Formel (50/50)</t>
  </si>
  <si>
    <t>Note 14</t>
  </si>
  <si>
    <t>employee headcount</t>
  </si>
  <si>
    <t>Revenue Europe</t>
  </si>
  <si>
    <t>employees</t>
  </si>
  <si>
    <t>Die Gesellschaft gehört zur weltweiten Alphabet Gruppe und fungiert im Wesentlichen als Servicegesellschaft der Google LLC, USA, und der Google Ireland Ltd., Irland, und erbringt für den deutschen Markt Dienstleistungen in den Bereichen Marketing sowie Forschung und Entwicklung (F&amp;E).</t>
  </si>
  <si>
    <t>Meta Platforms Ireland Limited (Facebook Ireland Limited) €</t>
  </si>
  <si>
    <t>No details on administrative costs (37bn) provided</t>
  </si>
  <si>
    <t>Google Ireland Unlimited ceased operations in 2020</t>
  </si>
  <si>
    <t>2021/22</t>
  </si>
  <si>
    <t>Note 12</t>
  </si>
  <si>
    <t>full-time basis</t>
  </si>
  <si>
    <t>Die Landesgesellschaften konzentrieren sich auf wesentliche unternehmerische Kernbereiche - insbesondere die Kundenbetreuung, Marketing und Akquisition - während übergreifende betriebliche Funktionen zentral wahrgenommen werden. So werden sämtliche Rechte zur Produktvervielfältigung und -lizenzierung von Microsoft an einige wenige Operations-Center übertragen, die wiederum berechtigt sind, Nutzungsrechte zu übertragen.Die Microsoft Deutschland GmbH ist in Deutschland für das Marketing der Produkte und die Betreuung von Kund*innen und Partnern zuständig. Die Microsoft Deutschland GmbH kooperiert dazu mit rund 30.000 lokalen Partnerunternehmen. Neben der Firmenzentrale in München Schwabing ist die Microsoft Deutschland GmbH bundesweit mit sieben weiteren Regionalbüros (Berlin, Frankfurt, Hamburg, Köln, München, Stuttgart, Walldorf, Eningen) vertreten.1Die Gesellschaft betätigt sich nicht im Bereich Forschung und Entwicklung. Mitarbeiter*innen, die die Gesellschaft in diesem Bereich beschäftigt, sind ausschließlich im Auftrag der Microsoft Corporation tätig.</t>
  </si>
  <si>
    <t>Microsoft Germany</t>
  </si>
  <si>
    <t>2019/2020</t>
  </si>
  <si>
    <t>Microsoft MCIO</t>
  </si>
  <si>
    <t>2020/2021</t>
  </si>
  <si>
    <t>EMIC</t>
  </si>
  <si>
    <t>MSMD</t>
  </si>
  <si>
    <t>Subsidiary name</t>
  </si>
  <si>
    <t>Place of registration</t>
  </si>
  <si>
    <t>Owner</t>
  </si>
  <si>
    <t>Organ</t>
  </si>
  <si>
    <t>Intangible Assets</t>
  </si>
  <si>
    <t>Turnover</t>
  </si>
  <si>
    <t>Profit before tax</t>
  </si>
  <si>
    <t>Profitability</t>
  </si>
  <si>
    <t>Profit after tax</t>
  </si>
  <si>
    <t>Tax according to P&amp;L</t>
  </si>
  <si>
    <t>Employees</t>
  </si>
  <si>
    <t>Carried profits (losses)</t>
  </si>
  <si>
    <t>Tax rate</t>
  </si>
  <si>
    <t>Parent of (GER)</t>
  </si>
  <si>
    <t>Activitiy</t>
  </si>
  <si>
    <t>Total</t>
  </si>
  <si>
    <t>Amazon Deutschland W1 Transport GmbH</t>
  </si>
  <si>
    <t>München</t>
  </si>
  <si>
    <t>Amazon Europe Core S.à r.l.</t>
  </si>
  <si>
    <t xml:space="preserve">Logistik </t>
  </si>
  <si>
    <t>Amazon Development Center Germany GmbH</t>
  </si>
  <si>
    <t>Berlin</t>
  </si>
  <si>
    <t>Amazon Int'l., Inc., Wilmington, DE, USA</t>
  </si>
  <si>
    <t xml:space="preserve">Forschung und Entwicklung Software </t>
  </si>
  <si>
    <t>Amazon Online Germany GmbH</t>
  </si>
  <si>
    <t>Vermögensverwaltung</t>
  </si>
  <si>
    <t>Amazon VZ Garbsen GmbH</t>
  </si>
  <si>
    <t>Garbsen</t>
  </si>
  <si>
    <t>Amazon Digital Germany GmbH</t>
  </si>
  <si>
    <t xml:space="preserve">Dienstleistungen online home entertainment </t>
  </si>
  <si>
    <t>Amazon Logistik Winsen GmbH</t>
  </si>
  <si>
    <t>Winsen (Luhe)</t>
  </si>
  <si>
    <t>Amazon Logistik Westfalenhuette GmbH</t>
  </si>
  <si>
    <t>Dortmund</t>
  </si>
  <si>
    <t>Amazon VCC GmbH</t>
  </si>
  <si>
    <t xml:space="preserve">Kundenbetreuung </t>
  </si>
  <si>
    <t>Amazon Deutschland N1 Transport GmbH</t>
  </si>
  <si>
    <t>Amazon Deutschland S1 Transport GmbH</t>
  </si>
  <si>
    <t>Amazon CS Berlin GmbH</t>
  </si>
  <si>
    <t>Amazon Deutschland E1 Transport GmbH</t>
  </si>
  <si>
    <t>Amazon Deutschland Transport GmbH</t>
  </si>
  <si>
    <t>Amazon VZ Rheinland GmbH</t>
  </si>
  <si>
    <t>Köln</t>
  </si>
  <si>
    <t>Amazon Verteilzentrum Krefeld GmbH</t>
  </si>
  <si>
    <t>Krefeld</t>
  </si>
  <si>
    <t>Amazon Logistik AF München GmbH</t>
  </si>
  <si>
    <t>Amazon Logistik Dortmund GmbH</t>
  </si>
  <si>
    <t>Amazon Logistik Werne GmbH</t>
  </si>
  <si>
    <t>Werne</t>
  </si>
  <si>
    <t>Amazon Fulfillment Germany GmbH</t>
  </si>
  <si>
    <t>Amazon Distribution GmbH</t>
  </si>
  <si>
    <t>Leipzig</t>
  </si>
  <si>
    <t>Amazon Logistik Potsdam GmbH</t>
  </si>
  <si>
    <t>Brieselang</t>
  </si>
  <si>
    <t>Amazon Pforzheim GmbH</t>
  </si>
  <si>
    <t>Pforzheim</t>
  </si>
  <si>
    <t>Amazon Logistik Moenchengladbach GmbH</t>
  </si>
  <si>
    <t>Mönchengladbach</t>
  </si>
  <si>
    <t>Amazon Logistik GmbH</t>
  </si>
  <si>
    <t>Bad Hersfeld</t>
  </si>
  <si>
    <t>Amazon Deutschland Services GmbH</t>
  </si>
  <si>
    <t xml:space="preserve"> Amazon EU S.à r.l.</t>
  </si>
  <si>
    <t>Informations- &amp; Kommunikationstechnik</t>
  </si>
  <si>
    <t>Amazon FC Graben GmbH</t>
  </si>
  <si>
    <t>Graben</t>
  </si>
  <si>
    <t>Logistik</t>
  </si>
  <si>
    <t>Amazon Koblenz GmbH</t>
  </si>
  <si>
    <t>Koblenz</t>
  </si>
  <si>
    <t>Amazon VZ Suedhessen GmbH</t>
  </si>
  <si>
    <t>Hattersheim</t>
  </si>
  <si>
    <t>1.347.271,97</t>
  </si>
  <si>
    <t>Amazon Deutschland W5 Transport GmbH</t>
  </si>
  <si>
    <t>597.554,10</t>
  </si>
  <si>
    <t>Amazon City Logistik Alpha GmbH</t>
  </si>
  <si>
    <t>835.707,63</t>
  </si>
  <si>
    <t>Amazon VZ Berlin-Brandenburg GmbH</t>
  </si>
  <si>
    <t>Schönefeld</t>
  </si>
  <si>
    <t>1.251.356,75</t>
  </si>
  <si>
    <t>Amazon Deutschland E5 Transport GmbH</t>
  </si>
  <si>
    <t>703.375,75</t>
  </si>
  <si>
    <t>Amazon Deutschland W6 Transport GmbH</t>
  </si>
  <si>
    <t>260.746,12</t>
  </si>
  <si>
    <t>Amazon Deutschland N7 Transport GmbH</t>
  </si>
  <si>
    <t>563.839,97</t>
  </si>
  <si>
    <t>Amazon Deutschland S3 Transport GmbH</t>
  </si>
  <si>
    <t>736.756,08</t>
  </si>
  <si>
    <t>Amazon Logistik SnL 1 GmbH</t>
  </si>
  <si>
    <t>195.508,75</t>
  </si>
  <si>
    <t>Amazon Deutschland N6 Transport GmbH</t>
  </si>
  <si>
    <t>738.216,62</t>
  </si>
  <si>
    <t>Amazon Deutschland E2 Transport GmbH</t>
  </si>
  <si>
    <t>546.459,97</t>
  </si>
  <si>
    <t>Amazon Deutschland W2 Transport GmbH</t>
  </si>
  <si>
    <t>645.539,39</t>
  </si>
  <si>
    <t>Amazon Deutschland N2 Transport GmbH</t>
  </si>
  <si>
    <t>397.530,69</t>
  </si>
  <si>
    <t>Amazon Deutschland N3 Transport GmbH</t>
  </si>
  <si>
    <t>521.626,87</t>
  </si>
  <si>
    <t>Amazon SZ Franken GmbH</t>
  </si>
  <si>
    <t>Nürnberg</t>
  </si>
  <si>
    <t>1.550.249,79</t>
  </si>
  <si>
    <t>Amazon Deutschland W7 Transport GmbH</t>
  </si>
  <si>
    <t>619.591,06</t>
  </si>
  <si>
    <t>Amazon Deutschland E3 Transport GmbH</t>
  </si>
  <si>
    <t>514.875,32</t>
  </si>
  <si>
    <t>Amazon Deutschland W4 Transport GmbH</t>
  </si>
  <si>
    <t>467.708,10</t>
  </si>
  <si>
    <t>Amazon Deutschland E4 Transport GmbH</t>
  </si>
  <si>
    <t>594.538,65</t>
  </si>
  <si>
    <t>Amazon Deutschland S4 Transport GmbH</t>
  </si>
  <si>
    <t>537.856,36</t>
  </si>
  <si>
    <t>Amazon City Logistik Gamma GmbH</t>
  </si>
  <si>
    <t>SUMME Deutschland</t>
  </si>
  <si>
    <t>Twitch Europe</t>
  </si>
  <si>
    <t>Luxemburg</t>
  </si>
  <si>
    <t>x</t>
  </si>
  <si>
    <t>to provide services to affilliates; dormant since January 2020</t>
  </si>
  <si>
    <t>Amazon Business EU SARL</t>
  </si>
  <si>
    <t>Amazon.com, Inc.</t>
  </si>
  <si>
    <t>to sell goods and services through certain websites to business customers</t>
  </si>
  <si>
    <t>Amazon Payments Europe S.C.A.</t>
  </si>
  <si>
    <t xml:space="preserve">to act as an Electronic Money Instituation </t>
  </si>
  <si>
    <t>Amazon International Services SARL</t>
  </si>
  <si>
    <t xml:space="preserve">to provide financial and treasury services to affiliated undertakings </t>
  </si>
  <si>
    <t>PAH AMAZON HOLDINGS SARL</t>
  </si>
  <si>
    <t>Amazon Agri Biotech LUX SARL</t>
  </si>
  <si>
    <t>Amazon Web Services EMEA SARL</t>
  </si>
  <si>
    <t>the sale and promotion of cloud computing services and the sale of professional and training services</t>
  </si>
  <si>
    <t>Amazon EU S.a.r.l</t>
  </si>
  <si>
    <t>to sell goods and services through certain websites. The Company also holds interests in other companies and other assets</t>
  </si>
  <si>
    <t>AMAZON INSURANCE S.à r.l.</t>
  </si>
  <si>
    <t>Amazon Luxembourg S.à r.l.</t>
  </si>
  <si>
    <t>Amazon Eurasia Holdings S.à.r.l.</t>
  </si>
  <si>
    <t>to hold interests in other companies and assets</t>
  </si>
  <si>
    <t>Amazon Digital GmbH; LEJ3 Fulfillment GmbH; Amazon Logistik Mönchengladbach; Amazon Logistik GmbH; Amazon Verteilzentrum Krefeld GmbH; Amazon Logistik Frankenthal GmbH; Amazon Logistik Winsen GmbH; Amazon Logistik Oelde GmbH</t>
  </si>
  <si>
    <t xml:space="preserve">to provide services to ist affiliated undertakings. The Company also holds interests in other companies and other assets </t>
  </si>
  <si>
    <t>Amazon Media EU S.à.r.l.</t>
  </si>
  <si>
    <t xml:space="preserve">to acquire  and license digital content, as well as provide certain services relating to the sale of this content </t>
  </si>
  <si>
    <t>AMAZON OIL VENTURES S.à r.l.</t>
  </si>
  <si>
    <t>Amazon Services Europe S.à r.l.</t>
  </si>
  <si>
    <t xml:space="preserve">to provide services via certain websites </t>
  </si>
  <si>
    <t>Amazon Europe Holding Technologies S.à r.l.</t>
  </si>
  <si>
    <t>Amazon Global Store EU S.à r.l.</t>
  </si>
  <si>
    <t>to sell goods and services through certain websites</t>
  </si>
  <si>
    <t>AMAZON INSURANCE &amp; PENSION SERVICES S.à r.l.</t>
  </si>
  <si>
    <t>SUMME Luxemburg</t>
  </si>
  <si>
    <t>Umsatzanteil Deutschland (laut Amazon)</t>
  </si>
  <si>
    <t>full-time and part-time employees</t>
  </si>
  <si>
    <t>Big5</t>
  </si>
  <si>
    <t>"Steuersatz" Deutschland</t>
  </si>
  <si>
    <t>Umsatz Deutschland (dt. Töchter)</t>
  </si>
  <si>
    <t>Gewinn Deutschland (dt. Töchter)</t>
  </si>
  <si>
    <t>Steuern Deutschland (dt. Töchter)</t>
  </si>
  <si>
    <t>Steuersatz Deutschland (dt. Töchter)</t>
  </si>
  <si>
    <t>Anteil iPhones am globalen Umsatz</t>
  </si>
  <si>
    <t>Umsatz in Europa</t>
  </si>
  <si>
    <t>Datum</t>
  </si>
  <si>
    <t>https://investor.apple.com/investor-relations/default.aspx</t>
  </si>
  <si>
    <t>Finanzjahr</t>
  </si>
  <si>
    <t>September</t>
  </si>
  <si>
    <t>Oktober</t>
  </si>
  <si>
    <t>https://investor.fb.com/financials/default.aspx</t>
  </si>
  <si>
    <t>Dezember</t>
  </si>
  <si>
    <t>Anfang Februar</t>
  </si>
  <si>
    <t>https://abc.xyz/investor/</t>
  </si>
  <si>
    <t>Juni</t>
  </si>
  <si>
    <t>August</t>
  </si>
  <si>
    <t>https://ir.aboutamazon.com/annual-reports-proxies-and-shareholder-letters/default.aspx</t>
  </si>
  <si>
    <t>2022/23</t>
  </si>
  <si>
    <t>Note 12 (taxes paid net of refunds)</t>
  </si>
  <si>
    <t>Europa</t>
  </si>
  <si>
    <t>Google Austria GmbH 2021</t>
  </si>
  <si>
    <t>AT</t>
  </si>
  <si>
    <t>Das Unternehmen gehört zur weltweiten Alphabet-Gruppe und agiert hauptsächlich als</t>
  </si>
  <si>
    <t>Dienstleistungsunternehmen für Google Irland Ltd. in Dublin, Irland, Google LLC in</t>
  </si>
  <si>
    <t>Delaware, USA und Google Cloud EMEA Ltd. in Dublin, Irland. Sie erbringt</t>
  </si>
  <si>
    <t>Dienstleistungen in den Bereichen Marketing sowie Forschung und Entwicklung auf der</t>
  </si>
  <si>
    <t>Grundlage ihrer Dienstleistungsvereinbarung mit Google Irland Ltd, Google LLC und</t>
  </si>
  <si>
    <t>Google Cloud EMEA Ltd</t>
  </si>
  <si>
    <t>Die Umsatzerlöse stiegen von EUR 13.865.100 im Jahr 2020 auf EUR 19.088.110 im Jahr 2021.</t>
  </si>
  <si>
    <t>Die Kosten stiegen von EUR 11.590.499 auf EUR 15.573.229. Da der daraus resultierende Anstieg</t>
  </si>
  <si>
    <t>der betrieblichen Aufwendungen die Grundlage für die Intercompany-Vereinbarungen bildet,</t>
  </si>
  <si>
    <t>stiegen die Umsatzerlöse der Google Austria GmbH entsprechend.</t>
  </si>
  <si>
    <t>Google Belgium</t>
  </si>
  <si>
    <t>Google Czech Repulic S.r.o</t>
  </si>
  <si>
    <t>Google Denmark APS</t>
  </si>
  <si>
    <t>Google France</t>
  </si>
  <si>
    <t>Google Netherlands B.V.</t>
  </si>
  <si>
    <t>Google Norway AS</t>
  </si>
  <si>
    <t>Google Poland Sp. Z.o.o</t>
  </si>
  <si>
    <t>Google UK</t>
  </si>
  <si>
    <t>Umsatzrendite</t>
  </si>
  <si>
    <t>Zweck</t>
  </si>
  <si>
    <t>Die Gesellschaft erbringt Unterstützungsleistungen für Unterkunftspartner an das verbundene Unternehmen Booking.com B.V.,Amsterdam. Die Dienstleistungen für Booking.com B.V. beinhalten unter anderem verkaufsfördernde Maßnahmen, einschließlich derGewinnung von Unterkunftsanbietern für die Listung auf Booking.com sowie die Unterstützung bei der Optimierung ihres Auftritts aufder Website. Für diese Dienstleistungen erhält das Unternehmen von Booking.com B.V. eine Vergütung auf Cost-Plus-Basis sowie eineleistungsbezogene Komponente</t>
  </si>
  <si>
    <t>booking.com (Deutschland) gmbh</t>
  </si>
  <si>
    <t>Italia</t>
  </si>
  <si>
    <t>Frankreich</t>
  </si>
  <si>
    <t>Österreich</t>
  </si>
  <si>
    <t>Belgien</t>
  </si>
  <si>
    <t>Polen</t>
  </si>
  <si>
    <t>Dänemark</t>
  </si>
  <si>
    <t>1,1282</t>
  </si>
  <si>
    <t>1,1827</t>
  </si>
  <si>
    <t>2021</t>
  </si>
  <si>
    <t>2022</t>
  </si>
  <si>
    <t>1,0534</t>
  </si>
  <si>
    <t>Umsatzanteil</t>
  </si>
  <si>
    <t>Mitarbeiteranteil</t>
  </si>
  <si>
    <t>Gewinn/Umsatz</t>
  </si>
  <si>
    <t>Gewinn/Mitarbeiter</t>
  </si>
  <si>
    <t>Daten abgefragt am 17/09/2023 11:59:08 von [ESTAT]</t>
  </si>
  <si>
    <t xml:space="preserve">Datensatz: </t>
  </si>
  <si>
    <t>Bruttoinlandsprodukt zu Marktpreisen [TEC00001]</t>
  </si>
  <si>
    <t xml:space="preserve">Letzte Änderung: </t>
  </si>
  <si>
    <t>15/09/2023 11:00</t>
  </si>
  <si>
    <t>Zeitliche Frequenz</t>
  </si>
  <si>
    <t>Jährlich</t>
  </si>
  <si>
    <t>Volkswirtschaftliche Gesamtrechnungen Indikator (ESVG 2010)</t>
  </si>
  <si>
    <t>Bruttoinlandsprodukt zu Marktpreisen</t>
  </si>
  <si>
    <t>Maßeinheit</t>
  </si>
  <si>
    <t>Jeweilige Preise, Millionen Euro</t>
  </si>
  <si>
    <t>TIME</t>
  </si>
  <si>
    <t>2011</t>
  </si>
  <si>
    <t/>
  </si>
  <si>
    <t>2012</t>
  </si>
  <si>
    <t>2013</t>
  </si>
  <si>
    <t>2014</t>
  </si>
  <si>
    <t>2015</t>
  </si>
  <si>
    <t>GEO (Beschriftungen)</t>
  </si>
  <si>
    <t>Europäische Union - 27 Länder (ab 2020)</t>
  </si>
  <si>
    <t>Euroraum - 20 Länder (ab 2023)</t>
  </si>
  <si>
    <t>Euroraum - 19 Länder (2015-2022)</t>
  </si>
  <si>
    <t>p</t>
  </si>
  <si>
    <t>Bulgarien</t>
  </si>
  <si>
    <t>Tschechien</t>
  </si>
  <si>
    <t>Estland</t>
  </si>
  <si>
    <t>Irland</t>
  </si>
  <si>
    <t>Griechenland</t>
  </si>
  <si>
    <t>Spanien</t>
  </si>
  <si>
    <t>Kroatien</t>
  </si>
  <si>
    <t>Italien</t>
  </si>
  <si>
    <t>Zypern</t>
  </si>
  <si>
    <t>Lettland</t>
  </si>
  <si>
    <t>Litauen</t>
  </si>
  <si>
    <t>Ungarn</t>
  </si>
  <si>
    <t>Malta</t>
  </si>
  <si>
    <t>Niederlande</t>
  </si>
  <si>
    <t>Portugal</t>
  </si>
  <si>
    <t>Rumänien</t>
  </si>
  <si>
    <t>Slowenien</t>
  </si>
  <si>
    <t>Slowakei</t>
  </si>
  <si>
    <t>Finnland</t>
  </si>
  <si>
    <t>Schweden</t>
  </si>
  <si>
    <t>Island</t>
  </si>
  <si>
    <t>Liechtenstein</t>
  </si>
  <si>
    <t>:</t>
  </si>
  <si>
    <t>e</t>
  </si>
  <si>
    <t>Norwegen</t>
  </si>
  <si>
    <t>Schweiz</t>
  </si>
  <si>
    <t>Vereinigtes Königreich</t>
  </si>
  <si>
    <t>Bosnien und Herzegowina</t>
  </si>
  <si>
    <t>Montenegro</t>
  </si>
  <si>
    <t>Nordmazedonien</t>
  </si>
  <si>
    <t>Albanien</t>
  </si>
  <si>
    <t>Serbien</t>
  </si>
  <si>
    <t>Türkei</t>
  </si>
  <si>
    <t>Kosovo (gemäß der Resolution 1244/99 des Sicherheitsrates der Vereinten Nationen)</t>
  </si>
  <si>
    <t>Spezial Zeichen</t>
  </si>
  <si>
    <t>nicht erhältlich</t>
  </si>
  <si>
    <t>Erhältliche Flaggen:</t>
  </si>
  <si>
    <t>geschätzt</t>
  </si>
  <si>
    <t>vorläufig</t>
  </si>
  <si>
    <t>Data Source</t>
  </si>
  <si>
    <t>World Development Indicators</t>
  </si>
  <si>
    <t>Last Updated Date</t>
  </si>
  <si>
    <t>Country Name</t>
  </si>
  <si>
    <t>Country Code</t>
  </si>
  <si>
    <t>Indicator Name</t>
  </si>
  <si>
    <t>Indicator Code</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</si>
  <si>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</si>
  <si>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</si>
  <si>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</si>
  <si>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</si>
  <si>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</si>
  <si>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</si>
  <si>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</si>
  <si>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</si>
  <si>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</si>
  <si>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</si>
  <si>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</si>
  <si>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</si>
  <si>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</si>
  <si>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</si>
  <si>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</si>
  <si>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</si>
  <si>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</si>
  <si>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</si>
  <si>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</si>
  <si>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</si>
  <si>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</si>
  <si>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</si>
  <si>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</si>
  <si>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</si>
  <si>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</si>
  <si>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</si>
  <si>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</si>
  <si>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</si>
  <si>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</si>
  <si>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</si>
  <si>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</si>
  <si>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</si>
  <si>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</si>
  <si>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</si>
  <si>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</si>
  <si>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</si>
  <si>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</si>
  <si>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</si>
  <si>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</si>
  <si>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</si>
  <si>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</si>
  <si>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</si>
  <si>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</si>
  <si>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</si>
  <si>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</si>
  <si>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</si>
  <si>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</si>
  <si>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</si>
  <si>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</si>
  <si>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</si>
  <si>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</si>
  <si>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Aruba</t>
  </si>
  <si>
    <t>ABW</t>
  </si>
  <si>
    <t>GDP (current US$)</t>
  </si>
  <si>
    <t>NY.GDP.MKTP.CD</t>
  </si>
  <si>
    <t>Africa Eastern and Southern</t>
  </si>
  <si>
    <t>AFE</t>
  </si>
  <si>
    <t>Afghanistan</t>
  </si>
  <si>
    <t>AFG</t>
  </si>
  <si>
    <t>Africa Western and Central</t>
  </si>
  <si>
    <t>AFW</t>
  </si>
  <si>
    <t>Angola</t>
  </si>
  <si>
    <t>AGO</t>
  </si>
  <si>
    <t>Albania</t>
  </si>
  <si>
    <t>ALB</t>
  </si>
  <si>
    <t>Andorra</t>
  </si>
  <si>
    <t>AND</t>
  </si>
  <si>
    <t>Arab World</t>
  </si>
  <si>
    <t>ARB</t>
  </si>
  <si>
    <t>United Arab Emirates</t>
  </si>
  <si>
    <t>ARE</t>
  </si>
  <si>
    <t>Argentina</t>
  </si>
  <si>
    <t>ARG</t>
  </si>
  <si>
    <t>Armenia</t>
  </si>
  <si>
    <t>ARM</t>
  </si>
  <si>
    <t>American Samoa</t>
  </si>
  <si>
    <t>ASM</t>
  </si>
  <si>
    <t>Antigua and Barbuda</t>
  </si>
  <si>
    <t>ATG</t>
  </si>
  <si>
    <t>AUS</t>
  </si>
  <si>
    <t>Austria</t>
  </si>
  <si>
    <t>AUT</t>
  </si>
  <si>
    <t>Azerbaijan</t>
  </si>
  <si>
    <t>AZE</t>
  </si>
  <si>
    <t>Burundi</t>
  </si>
  <si>
    <t>BDI</t>
  </si>
  <si>
    <t>Belgium</t>
  </si>
  <si>
    <t>BEL</t>
  </si>
  <si>
    <t>Benin</t>
  </si>
  <si>
    <t>BEN</t>
  </si>
  <si>
    <t>Burkina Faso</t>
  </si>
  <si>
    <t>BFA</t>
  </si>
  <si>
    <t>Bangladesh</t>
  </si>
  <si>
    <t>BGD</t>
  </si>
  <si>
    <t>Bulgaria</t>
  </si>
  <si>
    <t>BGR</t>
  </si>
  <si>
    <t>Bahrain</t>
  </si>
  <si>
    <t>BHR</t>
  </si>
  <si>
    <t>Bahamas, The</t>
  </si>
  <si>
    <t>BHS</t>
  </si>
  <si>
    <t>Bosnia and Herzegovina</t>
  </si>
  <si>
    <t>BIH</t>
  </si>
  <si>
    <t>Belarus</t>
  </si>
  <si>
    <t>BLR</t>
  </si>
  <si>
    <t>Belize</t>
  </si>
  <si>
    <t>BLZ</t>
  </si>
  <si>
    <t>Bermuda</t>
  </si>
  <si>
    <t>BMU</t>
  </si>
  <si>
    <t>Bolivia</t>
  </si>
  <si>
    <t>BOL</t>
  </si>
  <si>
    <t>BRA</t>
  </si>
  <si>
    <t>Barbados</t>
  </si>
  <si>
    <t>BRB</t>
  </si>
  <si>
    <t>Brunei Darussalam</t>
  </si>
  <si>
    <t>BRN</t>
  </si>
  <si>
    <t>Bhutan</t>
  </si>
  <si>
    <t>BTN</t>
  </si>
  <si>
    <t>Botswana</t>
  </si>
  <si>
    <t>BWA</t>
  </si>
  <si>
    <t>Central African Republic</t>
  </si>
  <si>
    <t>CAF</t>
  </si>
  <si>
    <t>CAN</t>
  </si>
  <si>
    <t>Central Europe and the Baltics</t>
  </si>
  <si>
    <t>CEB</t>
  </si>
  <si>
    <t>CHE</t>
  </si>
  <si>
    <t>Channel Islands</t>
  </si>
  <si>
    <t>CHI</t>
  </si>
  <si>
    <t>Chile</t>
  </si>
  <si>
    <t>CHL</t>
  </si>
  <si>
    <t>CHN</t>
  </si>
  <si>
    <t>CIV</t>
  </si>
  <si>
    <t>Cameroon</t>
  </si>
  <si>
    <t>CMR</t>
  </si>
  <si>
    <t>COD</t>
  </si>
  <si>
    <t>COG</t>
  </si>
  <si>
    <t>Colombia</t>
  </si>
  <si>
    <t>COL</t>
  </si>
  <si>
    <t>Comoros</t>
  </si>
  <si>
    <t>COM</t>
  </si>
  <si>
    <t>CPV</t>
  </si>
  <si>
    <t>Costa Rica</t>
  </si>
  <si>
    <t>CRI</t>
  </si>
  <si>
    <t>Caribbean small states</t>
  </si>
  <si>
    <t>CSS</t>
  </si>
  <si>
    <t>Cuba</t>
  </si>
  <si>
    <t>CUB</t>
  </si>
  <si>
    <t>Curacao</t>
  </si>
  <si>
    <t>CUW</t>
  </si>
  <si>
    <t>Cayman Islands</t>
  </si>
  <si>
    <t>CYM</t>
  </si>
  <si>
    <t>Cyprus</t>
  </si>
  <si>
    <t>CYP</t>
  </si>
  <si>
    <t>CZE</t>
  </si>
  <si>
    <t>DEU</t>
  </si>
  <si>
    <t>Djibouti</t>
  </si>
  <si>
    <t>DJI</t>
  </si>
  <si>
    <t>Dominica</t>
  </si>
  <si>
    <t>DMA</t>
  </si>
  <si>
    <t>Denmark</t>
  </si>
  <si>
    <t>DNK</t>
  </si>
  <si>
    <t>Dominican Republic</t>
  </si>
  <si>
    <t>DOM</t>
  </si>
  <si>
    <t>Algeria</t>
  </si>
  <si>
    <t>DZA</t>
  </si>
  <si>
    <t>East Asia &amp; Pacific (excluding high income)</t>
  </si>
  <si>
    <t>EAP</t>
  </si>
  <si>
    <t>Early-demographic dividend</t>
  </si>
  <si>
    <t>EAR</t>
  </si>
  <si>
    <t>East Asia &amp; Pacific</t>
  </si>
  <si>
    <t>EAS</t>
  </si>
  <si>
    <t>Europe &amp; Central Asia (excluding high income)</t>
  </si>
  <si>
    <t>ECA</t>
  </si>
  <si>
    <t>Europe &amp; Central Asia</t>
  </si>
  <si>
    <t>ECS</t>
  </si>
  <si>
    <t>Ecuador</t>
  </si>
  <si>
    <t>ECU</t>
  </si>
  <si>
    <t>EGY</t>
  </si>
  <si>
    <t>Euro area</t>
  </si>
  <si>
    <t>EMU</t>
  </si>
  <si>
    <t>Eritrea</t>
  </si>
  <si>
    <t>ERI</t>
  </si>
  <si>
    <t>ESP</t>
  </si>
  <si>
    <t>Estonia</t>
  </si>
  <si>
    <t>EST</t>
  </si>
  <si>
    <t>Ethiopia</t>
  </si>
  <si>
    <t>ETH</t>
  </si>
  <si>
    <t>European Union</t>
  </si>
  <si>
    <t>EUU</t>
  </si>
  <si>
    <t>Fragile and conflict affected situations</t>
  </si>
  <si>
    <t>FCS</t>
  </si>
  <si>
    <t>Finland</t>
  </si>
  <si>
    <t>FIN</t>
  </si>
  <si>
    <t>Fiji</t>
  </si>
  <si>
    <t>FJI</t>
  </si>
  <si>
    <t>FRA</t>
  </si>
  <si>
    <t>Faroe Islands</t>
  </si>
  <si>
    <t>FRO</t>
  </si>
  <si>
    <t>Micronesia, Fed. Sts.</t>
  </si>
  <si>
    <t>FSM</t>
  </si>
  <si>
    <t>Gabon</t>
  </si>
  <si>
    <t>GAB</t>
  </si>
  <si>
    <t>GBR</t>
  </si>
  <si>
    <t>Georgia</t>
  </si>
  <si>
    <t>GEO</t>
  </si>
  <si>
    <t>Ghana</t>
  </si>
  <si>
    <t>GHA</t>
  </si>
  <si>
    <t>Gibraltar</t>
  </si>
  <si>
    <t>GIB</t>
  </si>
  <si>
    <t>Guinea</t>
  </si>
  <si>
    <t>GIN</t>
  </si>
  <si>
    <t>GMB</t>
  </si>
  <si>
    <t>Guinea-Bissau</t>
  </si>
  <si>
    <t>GNB</t>
  </si>
  <si>
    <t>Equatorial Guinea</t>
  </si>
  <si>
    <t>GNQ</t>
  </si>
  <si>
    <t>Greece</t>
  </si>
  <si>
    <t>GRC</t>
  </si>
  <si>
    <t>Grenada</t>
  </si>
  <si>
    <t>GRD</t>
  </si>
  <si>
    <t>Greenland</t>
  </si>
  <si>
    <t>GRL</t>
  </si>
  <si>
    <t>Guatemala</t>
  </si>
  <si>
    <t>GTM</t>
  </si>
  <si>
    <t>Guam</t>
  </si>
  <si>
    <t>GUM</t>
  </si>
  <si>
    <t>Guyana</t>
  </si>
  <si>
    <t>GUY</t>
  </si>
  <si>
    <t>High income</t>
  </si>
  <si>
    <t>HIC</t>
  </si>
  <si>
    <t>Hong Kong SAR, China</t>
  </si>
  <si>
    <t>HKG</t>
  </si>
  <si>
    <t>Honduras</t>
  </si>
  <si>
    <t>HND</t>
  </si>
  <si>
    <t>Heavily indebted poor countries (HIPC)</t>
  </si>
  <si>
    <t>HPC</t>
  </si>
  <si>
    <t>Croatia</t>
  </si>
  <si>
    <t>HRV</t>
  </si>
  <si>
    <t>Haiti</t>
  </si>
  <si>
    <t>HTI</t>
  </si>
  <si>
    <t>Hungary</t>
  </si>
  <si>
    <t>HUN</t>
  </si>
  <si>
    <t>IBRD only</t>
  </si>
  <si>
    <t>IBD</t>
  </si>
  <si>
    <t>IDA &amp; IBRD total</t>
  </si>
  <si>
    <t>IBT</t>
  </si>
  <si>
    <t>IDA total</t>
  </si>
  <si>
    <t>IDA</t>
  </si>
  <si>
    <t>IDA blend</t>
  </si>
  <si>
    <t>IDB</t>
  </si>
  <si>
    <t>Indonesia</t>
  </si>
  <si>
    <t>IDN</t>
  </si>
  <si>
    <t>IDA only</t>
  </si>
  <si>
    <t>IDX</t>
  </si>
  <si>
    <t>Isle of Man</t>
  </si>
  <si>
    <t>IMN</t>
  </si>
  <si>
    <t>India</t>
  </si>
  <si>
    <t>IND</t>
  </si>
  <si>
    <t>Not classified</t>
  </si>
  <si>
    <t>INX</t>
  </si>
  <si>
    <t>IRL</t>
  </si>
  <si>
    <t>IRN</t>
  </si>
  <si>
    <t>Iraq</t>
  </si>
  <si>
    <t>IRQ</t>
  </si>
  <si>
    <t>Iceland</t>
  </si>
  <si>
    <t>ISL</t>
  </si>
  <si>
    <t>Israel</t>
  </si>
  <si>
    <t>ISR</t>
  </si>
  <si>
    <t>Italy</t>
  </si>
  <si>
    <t>ITA</t>
  </si>
  <si>
    <t>Jamaica</t>
  </si>
  <si>
    <t>JAM</t>
  </si>
  <si>
    <t>Jordan</t>
  </si>
  <si>
    <t>JOR</t>
  </si>
  <si>
    <t>JPN</t>
  </si>
  <si>
    <t>Kazakhstan</t>
  </si>
  <si>
    <t>KAZ</t>
  </si>
  <si>
    <t>Kenya</t>
  </si>
  <si>
    <t>KEN</t>
  </si>
  <si>
    <t>KGZ</t>
  </si>
  <si>
    <t>Cambodia</t>
  </si>
  <si>
    <t>KHM</t>
  </si>
  <si>
    <t>Kiribati</t>
  </si>
  <si>
    <t>KIR</t>
  </si>
  <si>
    <t>St. Kitts and Nevis</t>
  </si>
  <si>
    <t>KNA</t>
  </si>
  <si>
    <t>Korea, Rep.</t>
  </si>
  <si>
    <t>KOR</t>
  </si>
  <si>
    <t>Kuwait</t>
  </si>
  <si>
    <t>KWT</t>
  </si>
  <si>
    <t>Latin America &amp; Caribbean (excluding high income)</t>
  </si>
  <si>
    <t>LAC</t>
  </si>
  <si>
    <t>Lao PDR</t>
  </si>
  <si>
    <t>LAO</t>
  </si>
  <si>
    <t>Lebanon</t>
  </si>
  <si>
    <t>LBN</t>
  </si>
  <si>
    <t>Liberia</t>
  </si>
  <si>
    <t>LBR</t>
  </si>
  <si>
    <t>Libya</t>
  </si>
  <si>
    <t>LBY</t>
  </si>
  <si>
    <t>St. Lucia</t>
  </si>
  <si>
    <t>LCA</t>
  </si>
  <si>
    <t>Latin America &amp; Caribbean</t>
  </si>
  <si>
    <t>LCN</t>
  </si>
  <si>
    <t>Least developed countries: UN classification</t>
  </si>
  <si>
    <t>LDC</t>
  </si>
  <si>
    <t>Low income</t>
  </si>
  <si>
    <t>LIC</t>
  </si>
  <si>
    <t>LIE</t>
  </si>
  <si>
    <t>Sri Lanka</t>
  </si>
  <si>
    <t>LKA</t>
  </si>
  <si>
    <t>Lower middle income</t>
  </si>
  <si>
    <t>LMC</t>
  </si>
  <si>
    <t>Low &amp; middle income</t>
  </si>
  <si>
    <t>LMY</t>
  </si>
  <si>
    <t>Lesotho</t>
  </si>
  <si>
    <t>LSO</t>
  </si>
  <si>
    <t>Late-demographic dividend</t>
  </si>
  <si>
    <t>LTE</t>
  </si>
  <si>
    <t>Lithuania</t>
  </si>
  <si>
    <t>LTU</t>
  </si>
  <si>
    <t>LUX</t>
  </si>
  <si>
    <t>Latvia</t>
  </si>
  <si>
    <t>LVA</t>
  </si>
  <si>
    <t>Macao SAR, China</t>
  </si>
  <si>
    <t>MAC</t>
  </si>
  <si>
    <t>St. Martin (French part)</t>
  </si>
  <si>
    <t>MAF</t>
  </si>
  <si>
    <t>Morocco</t>
  </si>
  <si>
    <t>MAR</t>
  </si>
  <si>
    <t>Monaco</t>
  </si>
  <si>
    <t>MCO</t>
  </si>
  <si>
    <t>Moldova</t>
  </si>
  <si>
    <t>MDA</t>
  </si>
  <si>
    <t>Madagascar</t>
  </si>
  <si>
    <t>MDG</t>
  </si>
  <si>
    <t>Maldives</t>
  </si>
  <si>
    <t>MDV</t>
  </si>
  <si>
    <t>Middle East &amp; North Africa</t>
  </si>
  <si>
    <t>MEA</t>
  </si>
  <si>
    <t>Mexico</t>
  </si>
  <si>
    <t>MEX</t>
  </si>
  <si>
    <t>Marshall Islands</t>
  </si>
  <si>
    <t>MHL</t>
  </si>
  <si>
    <t>Middle income</t>
  </si>
  <si>
    <t>MIC</t>
  </si>
  <si>
    <t>North Macedonia</t>
  </si>
  <si>
    <t>MKD</t>
  </si>
  <si>
    <t>Mali</t>
  </si>
  <si>
    <t>MLI</t>
  </si>
  <si>
    <t>MLT</t>
  </si>
  <si>
    <t>Myanmar</t>
  </si>
  <si>
    <t>MMR</t>
  </si>
  <si>
    <t>Middle East &amp; North Africa (excluding high income)</t>
  </si>
  <si>
    <t>MNA</t>
  </si>
  <si>
    <t>MNE</t>
  </si>
  <si>
    <t>Mongolia</t>
  </si>
  <si>
    <t>MNG</t>
  </si>
  <si>
    <t>Northern Mariana Islands</t>
  </si>
  <si>
    <t>MNP</t>
  </si>
  <si>
    <t>Mozambique</t>
  </si>
  <si>
    <t>MOZ</t>
  </si>
  <si>
    <t>Mauritania</t>
  </si>
  <si>
    <t>MRT</t>
  </si>
  <si>
    <t>Mauritius</t>
  </si>
  <si>
    <t>MUS</t>
  </si>
  <si>
    <t>Malawi</t>
  </si>
  <si>
    <t>MWI</t>
  </si>
  <si>
    <t>Malaysia</t>
  </si>
  <si>
    <t>MYS</t>
  </si>
  <si>
    <t>North America</t>
  </si>
  <si>
    <t>NAC</t>
  </si>
  <si>
    <t>Namibia</t>
  </si>
  <si>
    <t>NAM</t>
  </si>
  <si>
    <t>New Caledonia</t>
  </si>
  <si>
    <t>NCL</t>
  </si>
  <si>
    <t>Niger</t>
  </si>
  <si>
    <t>NER</t>
  </si>
  <si>
    <t>Nigeria</t>
  </si>
  <si>
    <t>NGA</t>
  </si>
  <si>
    <t>Nicaragua</t>
  </si>
  <si>
    <t>NIC</t>
  </si>
  <si>
    <t>Netherlands</t>
  </si>
  <si>
    <t>NLD</t>
  </si>
  <si>
    <t>Norway</t>
  </si>
  <si>
    <t>NOR</t>
  </si>
  <si>
    <t>Nepal</t>
  </si>
  <si>
    <t>NPL</t>
  </si>
  <si>
    <t>Nauru</t>
  </si>
  <si>
    <t>NRU</t>
  </si>
  <si>
    <t>New Zealand</t>
  </si>
  <si>
    <t>NZL</t>
  </si>
  <si>
    <t>OECD members</t>
  </si>
  <si>
    <t>OED</t>
  </si>
  <si>
    <t>Oman</t>
  </si>
  <si>
    <t>OMN</t>
  </si>
  <si>
    <t>Other small states</t>
  </si>
  <si>
    <t>OSS</t>
  </si>
  <si>
    <t>Pakistan</t>
  </si>
  <si>
    <t>PAK</t>
  </si>
  <si>
    <t>Panama</t>
  </si>
  <si>
    <t>PAN</t>
  </si>
  <si>
    <t>Peru</t>
  </si>
  <si>
    <t>PER</t>
  </si>
  <si>
    <t>Philippines</t>
  </si>
  <si>
    <t>PHL</t>
  </si>
  <si>
    <t>Palau</t>
  </si>
  <si>
    <t>PLW</t>
  </si>
  <si>
    <t>Papua New Guinea</t>
  </si>
  <si>
    <t>PNG</t>
  </si>
  <si>
    <t>Poland</t>
  </si>
  <si>
    <t>POL</t>
  </si>
  <si>
    <t>Pre-demographic dividend</t>
  </si>
  <si>
    <t>PRE</t>
  </si>
  <si>
    <t>Puerto Rico</t>
  </si>
  <si>
    <t>PRI</t>
  </si>
  <si>
    <t>Korea, Dem. People's Rep.</t>
  </si>
  <si>
    <t>PRK</t>
  </si>
  <si>
    <t>PRT</t>
  </si>
  <si>
    <t>Paraguay</t>
  </si>
  <si>
    <t>PRY</t>
  </si>
  <si>
    <t>West Bank and Gaza</t>
  </si>
  <si>
    <t>PSE</t>
  </si>
  <si>
    <t>Pacific island small states</t>
  </si>
  <si>
    <t>PSS</t>
  </si>
  <si>
    <t>Post-demographic dividend</t>
  </si>
  <si>
    <t>PST</t>
  </si>
  <si>
    <t>French Polynesia</t>
  </si>
  <si>
    <t>PYF</t>
  </si>
  <si>
    <t>Qatar</t>
  </si>
  <si>
    <t>QAT</t>
  </si>
  <si>
    <t>Romania</t>
  </si>
  <si>
    <t>ROU</t>
  </si>
  <si>
    <t>RUS</t>
  </si>
  <si>
    <t>Rwanda</t>
  </si>
  <si>
    <t>RWA</t>
  </si>
  <si>
    <t>South Asia</t>
  </si>
  <si>
    <t>SAS</t>
  </si>
  <si>
    <t>Saudi Arabia</t>
  </si>
  <si>
    <t>SAU</t>
  </si>
  <si>
    <t>Sudan</t>
  </si>
  <si>
    <t>SDN</t>
  </si>
  <si>
    <t>Senegal</t>
  </si>
  <si>
    <t>SEN</t>
  </si>
  <si>
    <t>SGP</t>
  </si>
  <si>
    <t>Solomon Islands</t>
  </si>
  <si>
    <t>SLB</t>
  </si>
  <si>
    <t>Sierra Leone</t>
  </si>
  <si>
    <t>SLE</t>
  </si>
  <si>
    <t>El Salvador</t>
  </si>
  <si>
    <t>SLV</t>
  </si>
  <si>
    <t>San Marino</t>
  </si>
  <si>
    <t>SMR</t>
  </si>
  <si>
    <t>Somalia</t>
  </si>
  <si>
    <t>SOM</t>
  </si>
  <si>
    <t>Serbia</t>
  </si>
  <si>
    <t>SRB</t>
  </si>
  <si>
    <t>Sub-Saharan Africa (excluding high income)</t>
  </si>
  <si>
    <t>SSA</t>
  </si>
  <si>
    <t>South Sudan</t>
  </si>
  <si>
    <t>SSD</t>
  </si>
  <si>
    <t>Sub-Saharan Africa</t>
  </si>
  <si>
    <t>SSF</t>
  </si>
  <si>
    <t>Small states</t>
  </si>
  <si>
    <t>SST</t>
  </si>
  <si>
    <t>STP</t>
  </si>
  <si>
    <t>Suriname</t>
  </si>
  <si>
    <t>SUR</t>
  </si>
  <si>
    <t>SVK</t>
  </si>
  <si>
    <t>Slovenia</t>
  </si>
  <si>
    <t>SVN</t>
  </si>
  <si>
    <t>Sweden</t>
  </si>
  <si>
    <t>SWE</t>
  </si>
  <si>
    <t>Eswatini</t>
  </si>
  <si>
    <t>SWZ</t>
  </si>
  <si>
    <t>Sint Maarten (Dutch part)</t>
  </si>
  <si>
    <t>SXM</t>
  </si>
  <si>
    <t>Seychelles</t>
  </si>
  <si>
    <t>SYC</t>
  </si>
  <si>
    <t>SYR</t>
  </si>
  <si>
    <t>Turks and Caicos Islands</t>
  </si>
  <si>
    <t>TCA</t>
  </si>
  <si>
    <t>Chad</t>
  </si>
  <si>
    <t>TCD</t>
  </si>
  <si>
    <t>East Asia &amp; Pacific (IDA &amp; IBRD countries)</t>
  </si>
  <si>
    <t>TEA</t>
  </si>
  <si>
    <t>Europe &amp; Central Asia (IDA &amp; IBRD countries)</t>
  </si>
  <si>
    <t>TEC</t>
  </si>
  <si>
    <t>Togo</t>
  </si>
  <si>
    <t>TGO</t>
  </si>
  <si>
    <t>Thailand</t>
  </si>
  <si>
    <t>THA</t>
  </si>
  <si>
    <t>Tajikistan</t>
  </si>
  <si>
    <t>TJK</t>
  </si>
  <si>
    <t>Turkmenistan</t>
  </si>
  <si>
    <t>TKM</t>
  </si>
  <si>
    <t>Latin America &amp; the Caribbean (IDA &amp; IBRD countries)</t>
  </si>
  <si>
    <t>TLA</t>
  </si>
  <si>
    <t>Timor-Leste</t>
  </si>
  <si>
    <t>TLS</t>
  </si>
  <si>
    <t>Middle East &amp; North Africa (IDA &amp; IBRD countries)</t>
  </si>
  <si>
    <t>TMN</t>
  </si>
  <si>
    <t>Tonga</t>
  </si>
  <si>
    <t>TON</t>
  </si>
  <si>
    <t>South Asia (IDA &amp; IBRD)</t>
  </si>
  <si>
    <t>TSA</t>
  </si>
  <si>
    <t>Sub-Saharan Africa (IDA &amp; IBRD countries)</t>
  </si>
  <si>
    <t>TSS</t>
  </si>
  <si>
    <t>Trinidad and Tobago</t>
  </si>
  <si>
    <t>TTO</t>
  </si>
  <si>
    <t>Tunisia</t>
  </si>
  <si>
    <t>TUN</t>
  </si>
  <si>
    <t>TUR</t>
  </si>
  <si>
    <t>Tuvalu</t>
  </si>
  <si>
    <t>TUV</t>
  </si>
  <si>
    <t>Tanzania</t>
  </si>
  <si>
    <t>TZA</t>
  </si>
  <si>
    <t>Uganda</t>
  </si>
  <si>
    <t>UGA</t>
  </si>
  <si>
    <t>Ukraine</t>
  </si>
  <si>
    <t>UKR</t>
  </si>
  <si>
    <t>Upper middle income</t>
  </si>
  <si>
    <t>UMC</t>
  </si>
  <si>
    <t>Uruguay</t>
  </si>
  <si>
    <t>URY</t>
  </si>
  <si>
    <t>United States</t>
  </si>
  <si>
    <t>Uzbekistan</t>
  </si>
  <si>
    <t>UZB</t>
  </si>
  <si>
    <t>St. Vincent and the Grenadines</t>
  </si>
  <si>
    <t>VCT</t>
  </si>
  <si>
    <t>Venezuela, RB</t>
  </si>
  <si>
    <t>VEN</t>
  </si>
  <si>
    <t>British Virgin Islands</t>
  </si>
  <si>
    <t>VGB</t>
  </si>
  <si>
    <t>Virgin Islands (U.S.)</t>
  </si>
  <si>
    <t>VIR</t>
  </si>
  <si>
    <t>Vietnam</t>
  </si>
  <si>
    <t>VNM</t>
  </si>
  <si>
    <t>Vanuatu</t>
  </si>
  <si>
    <t>VUT</t>
  </si>
  <si>
    <t>World</t>
  </si>
  <si>
    <t>WLD</t>
  </si>
  <si>
    <t>Samoa</t>
  </si>
  <si>
    <t>WSM</t>
  </si>
  <si>
    <t>Kosovo</t>
  </si>
  <si>
    <t>XKX</t>
  </si>
  <si>
    <t>YEM</t>
  </si>
  <si>
    <t>South Africa</t>
  </si>
  <si>
    <t>ZAF</t>
  </si>
  <si>
    <t>Zambia</t>
  </si>
  <si>
    <t>ZMB</t>
  </si>
  <si>
    <t>Zimbabwe</t>
  </si>
  <si>
    <t>ZWE</t>
  </si>
  <si>
    <t>GDP Anteil</t>
  </si>
  <si>
    <t>n.v.</t>
  </si>
  <si>
    <t>EU</t>
  </si>
  <si>
    <t>Steuern rechnerisch</t>
  </si>
  <si>
    <t>Gewinn pro Mitarbeiter</t>
  </si>
  <si>
    <t>GoogleDenmark</t>
  </si>
  <si>
    <t>Steuernachforderung</t>
  </si>
  <si>
    <t>Gezahlt</t>
  </si>
  <si>
    <t>Gewinn hochgerechnet</t>
  </si>
  <si>
    <t>Forderung</t>
  </si>
  <si>
    <t>Zahlung</t>
  </si>
  <si>
    <t>Rückstellung</t>
  </si>
  <si>
    <t>Summe 2016-18</t>
  </si>
  <si>
    <t>-</t>
  </si>
  <si>
    <t>Forderung 1 (VAT von BV)</t>
  </si>
  <si>
    <t>VAT</t>
  </si>
  <si>
    <t>Transferpreise</t>
  </si>
  <si>
    <t>Zeitraum</t>
  </si>
  <si>
    <t>2012-2018</t>
  </si>
  <si>
    <t>2013-2018</t>
  </si>
  <si>
    <t>2006-2013</t>
  </si>
  <si>
    <t>2011-2018</t>
  </si>
  <si>
    <t>Status</t>
  </si>
  <si>
    <t>2019-2021</t>
  </si>
  <si>
    <t>MAP</t>
  </si>
  <si>
    <t>2013-2019</t>
  </si>
  <si>
    <t>Gericht</t>
  </si>
  <si>
    <t>Booking.com</t>
  </si>
  <si>
    <t>Cash_Flow</t>
  </si>
  <si>
    <t>https://www.sec.gov/cgi-bin/browse-edgar?action=getcompany&amp;CIK=0001075531&amp;type=10-k&amp;dateb=&amp;owner=include&amp;count=40&amp;search_text=</t>
  </si>
  <si>
    <t>NetherlandsBV</t>
  </si>
  <si>
    <t>1,1069</t>
  </si>
  <si>
    <t>1,297</t>
  </si>
  <si>
    <t>1,1810</t>
  </si>
  <si>
    <t>1,1196</t>
  </si>
  <si>
    <t>1,1421</t>
  </si>
  <si>
    <t>1,1829</t>
  </si>
  <si>
    <t>Anteil Niederlande</t>
  </si>
  <si>
    <t>Gewinn nach Steuern</t>
  </si>
  <si>
    <t>1,2455</t>
  </si>
  <si>
    <t>2006-2022</t>
  </si>
  <si>
    <t>Jahr</t>
  </si>
  <si>
    <t>Kurz</t>
  </si>
  <si>
    <t>1,1297</t>
  </si>
  <si>
    <t>Italien-Rückstellung</t>
  </si>
  <si>
    <t>Italien Umsatz</t>
  </si>
  <si>
    <t>Globaler Umsatz bis 2022</t>
  </si>
  <si>
    <t>Globaler Umsatz bis 2015</t>
  </si>
  <si>
    <t>Innovation Box</t>
  </si>
  <si>
    <t>Settled für 93 Mio. €</t>
  </si>
  <si>
    <t>Ankündigung</t>
  </si>
  <si>
    <t>Umfang</t>
  </si>
  <si>
    <t>Rückkauf</t>
  </si>
  <si>
    <t>Finanzierung</t>
  </si>
  <si>
    <t>Google Italy</t>
  </si>
  <si>
    <t>Microsoft Research</t>
  </si>
  <si>
    <t>Licensing rights to group companies</t>
  </si>
  <si>
    <t>Marketing, selling and distribution of hardware and software</t>
  </si>
  <si>
    <t>Microsoft Operations</t>
  </si>
  <si>
    <t>Microsoft Global Finance</t>
  </si>
  <si>
    <t>Holding investments in group companies</t>
  </si>
  <si>
    <t>Microsoft Round Island One</t>
  </si>
  <si>
    <t>Google Cloud Emea: 1,7 Mrd. US-Dollar fines</t>
  </si>
  <si>
    <t>Singapur: 1 Mrd. US-Dollar Gewinn, 17% - 200 Mio. exemptions</t>
  </si>
  <si>
    <t>Google Ireland</t>
  </si>
  <si>
    <t>Umsatz-rendite</t>
  </si>
  <si>
    <t>Gewinn/ Mitarbeiter</t>
  </si>
  <si>
    <t>Singapur</t>
  </si>
  <si>
    <t>n.a.</t>
  </si>
  <si>
    <t>UK</t>
  </si>
  <si>
    <t>Zwischensumme</t>
  </si>
  <si>
    <t>29,697,844</t>
  </si>
  <si>
    <t>5,840,103</t>
  </si>
  <si>
    <t> Georgia</t>
  </si>
  <si>
    <t> Kuwait</t>
  </si>
  <si>
    <t> Luxembourg</t>
  </si>
  <si>
    <t> Liberia</t>
  </si>
  <si>
    <t> Djibouti</t>
  </si>
  <si>
    <t> Sierra Leone</t>
  </si>
  <si>
    <t> Gabon</t>
  </si>
  <si>
    <t> Libya</t>
  </si>
  <si>
    <t> Kosovo</t>
  </si>
  <si>
    <t> Chad</t>
  </si>
  <si>
    <t> Zimbabwe</t>
  </si>
  <si>
    <t> Guinea-Bissau</t>
  </si>
  <si>
    <t> Ukraine</t>
  </si>
  <si>
    <t> Iraq</t>
  </si>
  <si>
    <t> Togo</t>
  </si>
  <si>
    <t> Zambia</t>
  </si>
  <si>
    <t> Ethiopia</t>
  </si>
  <si>
    <t> Guinea</t>
  </si>
  <si>
    <t> North Macedonia</t>
  </si>
  <si>
    <t> Senegal</t>
  </si>
  <si>
    <t> Cameroon</t>
  </si>
  <si>
    <t> Mauritania</t>
  </si>
  <si>
    <t> Angola</t>
  </si>
  <si>
    <t> Albania</t>
  </si>
  <si>
    <t> Benin</t>
  </si>
  <si>
    <t> Cape Verde</t>
  </si>
  <si>
    <t> Kyrgyzstan</t>
  </si>
  <si>
    <t> Latvia</t>
  </si>
  <si>
    <t> Austria</t>
  </si>
  <si>
    <t> Mali</t>
  </si>
  <si>
    <t> Kazakhstan</t>
  </si>
  <si>
    <t> Burundi</t>
  </si>
  <si>
    <t> Namibia</t>
  </si>
  <si>
    <t> Slovakia</t>
  </si>
  <si>
    <t> Serbia</t>
  </si>
  <si>
    <t> Estonia</t>
  </si>
  <si>
    <t> Hungary</t>
  </si>
  <si>
    <t> Malawi</t>
  </si>
  <si>
    <t> Poland</t>
  </si>
  <si>
    <t> Tajikistan</t>
  </si>
  <si>
    <t> Bulgaria</t>
  </si>
  <si>
    <t> Algeria</t>
  </si>
  <si>
    <t> Finland</t>
  </si>
  <si>
    <t> Romania</t>
  </si>
  <si>
    <t> South Africa</t>
  </si>
  <si>
    <t> Mozambique</t>
  </si>
  <si>
    <t> Azerbaijan</t>
  </si>
  <si>
    <t> Burkina Faso</t>
  </si>
  <si>
    <t> Lithuania</t>
  </si>
  <si>
    <t> Botswana</t>
  </si>
  <si>
    <t> Belarus</t>
  </si>
  <si>
    <t> Uganda</t>
  </si>
  <si>
    <t> Tunisia</t>
  </si>
  <si>
    <t> Moldova</t>
  </si>
  <si>
    <t> Armenia</t>
  </si>
  <si>
    <t> Lesotho</t>
  </si>
  <si>
    <t> Jordan</t>
  </si>
  <si>
    <t> Morocco</t>
  </si>
  <si>
    <t> Slovenia</t>
  </si>
  <si>
    <t> Uzbekistan</t>
  </si>
  <si>
    <t> Montenegro</t>
  </si>
  <si>
    <t> Kenya</t>
  </si>
  <si>
    <t> Eswatini</t>
  </si>
  <si>
    <t> Tanzania</t>
  </si>
  <si>
    <t> Gambia</t>
  </si>
  <si>
    <t> Nigeria</t>
  </si>
  <si>
    <t> Egypt</t>
  </si>
  <si>
    <t> Rwanda</t>
  </si>
  <si>
    <t> Spain</t>
  </si>
  <si>
    <t> Norway</t>
  </si>
  <si>
    <t> Ghana</t>
  </si>
  <si>
    <t> Italy</t>
  </si>
  <si>
    <t> Saudi Arabia</t>
  </si>
  <si>
    <t> Turkey</t>
  </si>
  <si>
    <t> Croatia</t>
  </si>
  <si>
    <t> Israel</t>
  </si>
  <si>
    <t> Belgium</t>
  </si>
  <si>
    <t> Oman</t>
  </si>
  <si>
    <t> Denmark</t>
  </si>
  <si>
    <t> Greece</t>
  </si>
  <si>
    <t> Iceland</t>
  </si>
  <si>
    <t> Sweden</t>
  </si>
  <si>
    <t> Portugal</t>
  </si>
  <si>
    <t> Qatar</t>
  </si>
  <si>
    <t> France</t>
  </si>
  <si>
    <t> Madagascar</t>
  </si>
  <si>
    <t> Germany</t>
  </si>
  <si>
    <t> Cyprus</t>
  </si>
  <si>
    <t> Lebanon</t>
  </si>
  <si>
    <t> Netherlands</t>
  </si>
  <si>
    <t> Seychelles</t>
  </si>
  <si>
    <t> Bahrain</t>
  </si>
  <si>
    <t> Ireland</t>
  </si>
  <si>
    <t> Mauritius</t>
  </si>
  <si>
    <t> Malta</t>
  </si>
  <si>
    <t>Steuerersparnis laut Konzernbericht</t>
  </si>
  <si>
    <t>Steuerbegünstigter Gewinn (rechnerisch)</t>
  </si>
  <si>
    <t>Steuerquote</t>
  </si>
  <si>
    <t>Anteil steuerbegünstigter Gewinn am Gesamtgewinn</t>
  </si>
  <si>
    <t>Umrechnung</t>
  </si>
  <si>
    <t>Netherlands in Euro</t>
  </si>
  <si>
    <t>Settled für ca. 60 Mio. €</t>
  </si>
  <si>
    <t>2016/2017</t>
  </si>
  <si>
    <t>2017/2018</t>
  </si>
  <si>
    <t>USA - Steuersatz auf Bundesebene</t>
  </si>
  <si>
    <t>Steuern im Ausland</t>
  </si>
  <si>
    <t>US-Lizenzbox</t>
  </si>
  <si>
    <t>Aktienbasierte Vergütung</t>
  </si>
  <si>
    <t>Forschungskredite (Bund)</t>
  </si>
  <si>
    <t>USA - Steuern auf lokaler Ebene</t>
  </si>
  <si>
    <t>Andere</t>
  </si>
  <si>
    <t>EMEA</t>
  </si>
  <si>
    <r>
      <t> </t>
    </r>
    <r>
      <rPr>
        <u/>
        <sz val="11"/>
        <color theme="10"/>
        <rFont val="Calibri"/>
        <family val="2"/>
      </rPr>
      <t>Belarus</t>
    </r>
  </si>
  <si>
    <r>
      <t> </t>
    </r>
    <r>
      <rPr>
        <u/>
        <sz val="11"/>
        <color theme="10"/>
        <rFont val="Calibri"/>
        <family val="2"/>
      </rPr>
      <t>Bulgaria</t>
    </r>
  </si>
  <si>
    <r>
      <t> </t>
    </r>
    <r>
      <rPr>
        <u/>
        <sz val="11"/>
        <color theme="10"/>
        <rFont val="Calibri"/>
        <family val="2"/>
      </rPr>
      <t>Czech Republic</t>
    </r>
  </si>
  <si>
    <r>
      <t> </t>
    </r>
    <r>
      <rPr>
        <u/>
        <sz val="11"/>
        <color theme="10"/>
        <rFont val="Calibri"/>
        <family val="2"/>
      </rPr>
      <t>Estonia</t>
    </r>
  </si>
  <si>
    <r>
      <t> </t>
    </r>
    <r>
      <rPr>
        <u/>
        <sz val="11"/>
        <color theme="10"/>
        <rFont val="Calibri"/>
        <family val="2"/>
      </rPr>
      <t>Georgia</t>
    </r>
  </si>
  <si>
    <r>
      <t> </t>
    </r>
    <r>
      <rPr>
        <u/>
        <sz val="11"/>
        <color theme="10"/>
        <rFont val="Calibri"/>
        <family val="2"/>
      </rPr>
      <t>Hungary</t>
    </r>
  </si>
  <si>
    <r>
      <t> </t>
    </r>
    <r>
      <rPr>
        <u/>
        <sz val="11"/>
        <color theme="10"/>
        <rFont val="Calibri"/>
        <family val="2"/>
      </rPr>
      <t>Latvia</t>
    </r>
  </si>
  <si>
    <r>
      <t> </t>
    </r>
    <r>
      <rPr>
        <u/>
        <sz val="11"/>
        <color theme="10"/>
        <rFont val="Calibri"/>
        <family val="2"/>
      </rPr>
      <t>Lithuania</t>
    </r>
  </si>
  <si>
    <r>
      <t> </t>
    </r>
    <r>
      <rPr>
        <u/>
        <sz val="11"/>
        <color theme="10"/>
        <rFont val="Calibri"/>
        <family val="2"/>
      </rPr>
      <t>Moldova</t>
    </r>
  </si>
  <si>
    <r>
      <t> </t>
    </r>
    <r>
      <rPr>
        <u/>
        <sz val="11"/>
        <color theme="10"/>
        <rFont val="Calibri"/>
        <family val="2"/>
      </rPr>
      <t>Poland</t>
    </r>
  </si>
  <si>
    <r>
      <t> </t>
    </r>
    <r>
      <rPr>
        <u/>
        <sz val="11"/>
        <color theme="10"/>
        <rFont val="Calibri"/>
        <family val="2"/>
      </rPr>
      <t>Romania</t>
    </r>
  </si>
  <si>
    <r>
      <t> </t>
    </r>
    <r>
      <rPr>
        <u/>
        <sz val="11"/>
        <color theme="10"/>
        <rFont val="Calibri"/>
        <family val="2"/>
      </rPr>
      <t>Russia</t>
    </r>
  </si>
  <si>
    <r>
      <t> </t>
    </r>
    <r>
      <rPr>
        <u/>
        <sz val="11"/>
        <color theme="10"/>
        <rFont val="Calibri"/>
        <family val="2"/>
      </rPr>
      <t>Slovakia</t>
    </r>
  </si>
  <si>
    <r>
      <t> </t>
    </r>
    <r>
      <rPr>
        <u/>
        <sz val="11"/>
        <color theme="10"/>
        <rFont val="Calibri"/>
        <family val="2"/>
      </rPr>
      <t>Ukraine</t>
    </r>
  </si>
  <si>
    <r>
      <t> </t>
    </r>
    <r>
      <rPr>
        <u/>
        <sz val="11"/>
        <color theme="10"/>
        <rFont val="Calibri"/>
        <family val="2"/>
      </rPr>
      <t>Armenia</t>
    </r>
  </si>
  <si>
    <r>
      <t> </t>
    </r>
    <r>
      <rPr>
        <u/>
        <sz val="11"/>
        <color theme="10"/>
        <rFont val="Calibri"/>
        <family val="2"/>
      </rPr>
      <t>Azerbaijan</t>
    </r>
  </si>
  <si>
    <r>
      <t> </t>
    </r>
    <r>
      <rPr>
        <u/>
        <sz val="11"/>
        <color theme="10"/>
        <rFont val="Calibri"/>
        <family val="2"/>
      </rPr>
      <t>Kazakhstan</t>
    </r>
  </si>
  <si>
    <r>
      <t> </t>
    </r>
    <r>
      <rPr>
        <u/>
        <sz val="11"/>
        <color theme="10"/>
        <rFont val="Calibri"/>
        <family val="2"/>
      </rPr>
      <t>Kyrgyzstan</t>
    </r>
  </si>
  <si>
    <r>
      <t> </t>
    </r>
    <r>
      <rPr>
        <u/>
        <sz val="11"/>
        <color theme="10"/>
        <rFont val="Calibri"/>
        <family val="2"/>
      </rPr>
      <t>Tajikistan</t>
    </r>
  </si>
  <si>
    <r>
      <t> </t>
    </r>
    <r>
      <rPr>
        <u/>
        <sz val="11"/>
        <color theme="10"/>
        <rFont val="Calibri"/>
        <family val="2"/>
      </rPr>
      <t>Turkmenistan</t>
    </r>
  </si>
  <si>
    <r>
      <t> </t>
    </r>
    <r>
      <rPr>
        <u/>
        <sz val="11"/>
        <color theme="10"/>
        <rFont val="Calibri"/>
        <family val="2"/>
      </rPr>
      <t>Uzbekistan</t>
    </r>
  </si>
  <si>
    <r>
      <t> </t>
    </r>
    <r>
      <rPr>
        <u/>
        <sz val="11"/>
        <color theme="10"/>
        <rFont val="Calibri"/>
        <family val="2"/>
      </rPr>
      <t>Denmark</t>
    </r>
  </si>
  <si>
    <r>
      <t> </t>
    </r>
    <r>
      <rPr>
        <u/>
        <sz val="11"/>
        <color theme="10"/>
        <rFont val="Calibri"/>
        <family val="2"/>
      </rPr>
      <t>Finland</t>
    </r>
  </si>
  <si>
    <r>
      <t> </t>
    </r>
    <r>
      <rPr>
        <u/>
        <sz val="11"/>
        <color theme="10"/>
        <rFont val="Calibri"/>
        <family val="2"/>
      </rPr>
      <t>Iceland</t>
    </r>
  </si>
  <si>
    <r>
      <t> </t>
    </r>
    <r>
      <rPr>
        <u/>
        <sz val="11"/>
        <color theme="10"/>
        <rFont val="Calibri"/>
        <family val="2"/>
      </rPr>
      <t>Ireland</t>
    </r>
  </si>
  <si>
    <r>
      <t> </t>
    </r>
    <r>
      <rPr>
        <u/>
        <sz val="11"/>
        <color theme="10"/>
        <rFont val="Calibri"/>
        <family val="2"/>
      </rPr>
      <t>Norway</t>
    </r>
  </si>
  <si>
    <r>
      <t> </t>
    </r>
    <r>
      <rPr>
        <u/>
        <sz val="11"/>
        <color theme="10"/>
        <rFont val="Calibri"/>
        <family val="2"/>
      </rPr>
      <t>Sweden</t>
    </r>
  </si>
  <si>
    <r>
      <t> </t>
    </r>
    <r>
      <rPr>
        <u/>
        <sz val="11"/>
        <color theme="10"/>
        <rFont val="Calibri"/>
        <family val="2"/>
      </rPr>
      <t>United Kingdom</t>
    </r>
  </si>
  <si>
    <r>
      <t> </t>
    </r>
    <r>
      <rPr>
        <u/>
        <sz val="11"/>
        <color theme="10"/>
        <rFont val="Calibri"/>
        <family val="2"/>
      </rPr>
      <t>Albania</t>
    </r>
  </si>
  <si>
    <r>
      <t> </t>
    </r>
    <r>
      <rPr>
        <u/>
        <sz val="11"/>
        <color theme="10"/>
        <rFont val="Calibri"/>
        <family val="2"/>
      </rPr>
      <t>Bosnia and Herzegovina</t>
    </r>
  </si>
  <si>
    <r>
      <t> </t>
    </r>
    <r>
      <rPr>
        <u/>
        <sz val="11"/>
        <color theme="10"/>
        <rFont val="Calibri"/>
        <family val="2"/>
      </rPr>
      <t>Croatia</t>
    </r>
  </si>
  <si>
    <r>
      <t> </t>
    </r>
    <r>
      <rPr>
        <u/>
        <sz val="11"/>
        <color theme="10"/>
        <rFont val="Calibri"/>
        <family val="2"/>
      </rPr>
      <t>Cyprus</t>
    </r>
  </si>
  <si>
    <r>
      <t> </t>
    </r>
    <r>
      <rPr>
        <u/>
        <sz val="11"/>
        <color theme="10"/>
        <rFont val="Calibri"/>
        <family val="2"/>
      </rPr>
      <t>France</t>
    </r>
  </si>
  <si>
    <r>
      <t> </t>
    </r>
    <r>
      <rPr>
        <u/>
        <sz val="11"/>
        <color theme="10"/>
        <rFont val="Calibri"/>
        <family val="2"/>
      </rPr>
      <t>Greece</t>
    </r>
  </si>
  <si>
    <r>
      <t> </t>
    </r>
    <r>
      <rPr>
        <u/>
        <sz val="11"/>
        <color theme="10"/>
        <rFont val="Calibri"/>
        <family val="2"/>
      </rPr>
      <t>Italy</t>
    </r>
  </si>
  <si>
    <r>
      <t> </t>
    </r>
    <r>
      <rPr>
        <u/>
        <sz val="11"/>
        <color theme="10"/>
        <rFont val="Calibri"/>
        <family val="2"/>
      </rPr>
      <t>Kosovo</t>
    </r>
  </si>
  <si>
    <r>
      <t> </t>
    </r>
    <r>
      <rPr>
        <u/>
        <sz val="11"/>
        <color theme="10"/>
        <rFont val="Calibri"/>
        <family val="2"/>
      </rPr>
      <t>Malta</t>
    </r>
  </si>
  <si>
    <r>
      <t> </t>
    </r>
    <r>
      <rPr>
        <u/>
        <sz val="11"/>
        <color theme="10"/>
        <rFont val="Calibri"/>
        <family val="2"/>
      </rPr>
      <t>Montenegro</t>
    </r>
  </si>
  <si>
    <r>
      <t> </t>
    </r>
    <r>
      <rPr>
        <u/>
        <sz val="11"/>
        <color theme="10"/>
        <rFont val="Calibri"/>
        <family val="2"/>
      </rPr>
      <t>North Macedonia</t>
    </r>
  </si>
  <si>
    <r>
      <t> </t>
    </r>
    <r>
      <rPr>
        <u/>
        <sz val="11"/>
        <color theme="10"/>
        <rFont val="Calibri"/>
        <family val="2"/>
      </rPr>
      <t>Portugal</t>
    </r>
  </si>
  <si>
    <r>
      <t> </t>
    </r>
    <r>
      <rPr>
        <u/>
        <sz val="11"/>
        <color theme="10"/>
        <rFont val="Calibri"/>
        <family val="2"/>
      </rPr>
      <t>Serbia</t>
    </r>
  </si>
  <si>
    <r>
      <t> </t>
    </r>
    <r>
      <rPr>
        <u/>
        <sz val="11"/>
        <color theme="10"/>
        <rFont val="Calibri"/>
        <family val="2"/>
      </rPr>
      <t>Slovenia</t>
    </r>
  </si>
  <si>
    <r>
      <t> </t>
    </r>
    <r>
      <rPr>
        <u/>
        <sz val="11"/>
        <color theme="10"/>
        <rFont val="Calibri"/>
        <family val="2"/>
      </rPr>
      <t>Spain</t>
    </r>
  </si>
  <si>
    <r>
      <t> </t>
    </r>
    <r>
      <rPr>
        <u/>
        <sz val="11"/>
        <color theme="10"/>
        <rFont val="Calibri"/>
        <family val="2"/>
      </rPr>
      <t>Turkey</t>
    </r>
  </si>
  <si>
    <r>
      <t> </t>
    </r>
    <r>
      <rPr>
        <u/>
        <sz val="11"/>
        <color theme="10"/>
        <rFont val="Calibri"/>
        <family val="2"/>
      </rPr>
      <t>Austria</t>
    </r>
  </si>
  <si>
    <r>
      <t> </t>
    </r>
    <r>
      <rPr>
        <u/>
        <sz val="11"/>
        <color theme="10"/>
        <rFont val="Calibri"/>
        <family val="2"/>
      </rPr>
      <t>Belgium</t>
    </r>
  </si>
  <si>
    <r>
      <t> </t>
    </r>
    <r>
      <rPr>
        <u/>
        <sz val="11"/>
        <color theme="10"/>
        <rFont val="Calibri"/>
        <family val="2"/>
      </rPr>
      <t>Germany</t>
    </r>
  </si>
  <si>
    <r>
      <t> </t>
    </r>
    <r>
      <rPr>
        <u/>
        <sz val="11"/>
        <color theme="10"/>
        <rFont val="Calibri"/>
        <family val="2"/>
      </rPr>
      <t>Luxembourg</t>
    </r>
  </si>
  <si>
    <r>
      <t> </t>
    </r>
    <r>
      <rPr>
        <u/>
        <sz val="11"/>
        <color theme="10"/>
        <rFont val="Calibri"/>
        <family val="2"/>
      </rPr>
      <t>Netherlands</t>
    </r>
  </si>
  <si>
    <r>
      <t>  </t>
    </r>
    <r>
      <rPr>
        <u/>
        <sz val="11"/>
        <color theme="10"/>
        <rFont val="Calibri"/>
        <family val="2"/>
      </rPr>
      <t>Switzerland</t>
    </r>
  </si>
  <si>
    <r>
      <t> </t>
    </r>
    <r>
      <rPr>
        <u/>
        <sz val="11"/>
        <color theme="10"/>
        <rFont val="Calibri"/>
        <family val="2"/>
      </rPr>
      <t>Algeria</t>
    </r>
  </si>
  <si>
    <r>
      <t> </t>
    </r>
    <r>
      <rPr>
        <u/>
        <sz val="11"/>
        <color theme="10"/>
        <rFont val="Calibri"/>
        <family val="2"/>
      </rPr>
      <t>Bahrain</t>
    </r>
  </si>
  <si>
    <r>
      <t> </t>
    </r>
    <r>
      <rPr>
        <u/>
        <sz val="11"/>
        <color theme="10"/>
        <rFont val="Calibri"/>
        <family val="2"/>
      </rPr>
      <t>Egypt</t>
    </r>
  </si>
  <si>
    <r>
      <t> </t>
    </r>
    <r>
      <rPr>
        <u/>
        <sz val="11"/>
        <color theme="10"/>
        <rFont val="Calibri"/>
        <family val="2"/>
      </rPr>
      <t>Iran</t>
    </r>
  </si>
  <si>
    <r>
      <t> </t>
    </r>
    <r>
      <rPr>
        <u/>
        <sz val="11"/>
        <color theme="10"/>
        <rFont val="Calibri"/>
        <family val="2"/>
      </rPr>
      <t>Iraq</t>
    </r>
  </si>
  <si>
    <r>
      <t> </t>
    </r>
    <r>
      <rPr>
        <u/>
        <sz val="11"/>
        <color theme="10"/>
        <rFont val="Calibri"/>
        <family val="2"/>
      </rPr>
      <t>Israel</t>
    </r>
  </si>
  <si>
    <r>
      <t> </t>
    </r>
    <r>
      <rPr>
        <u/>
        <sz val="11"/>
        <color theme="10"/>
        <rFont val="Calibri"/>
        <family val="2"/>
      </rPr>
      <t>Jordan</t>
    </r>
  </si>
  <si>
    <r>
      <t> </t>
    </r>
    <r>
      <rPr>
        <u/>
        <sz val="11"/>
        <color theme="10"/>
        <rFont val="Calibri"/>
        <family val="2"/>
      </rPr>
      <t>Kuwait</t>
    </r>
  </si>
  <si>
    <r>
      <t> </t>
    </r>
    <r>
      <rPr>
        <u/>
        <sz val="11"/>
        <color theme="10"/>
        <rFont val="Calibri"/>
        <family val="2"/>
      </rPr>
      <t>Lebanon</t>
    </r>
  </si>
  <si>
    <r>
      <t> </t>
    </r>
    <r>
      <rPr>
        <u/>
        <sz val="11"/>
        <color theme="10"/>
        <rFont val="Calibri"/>
        <family val="2"/>
      </rPr>
      <t>Libya</t>
    </r>
  </si>
  <si>
    <r>
      <t> </t>
    </r>
    <r>
      <rPr>
        <u/>
        <sz val="11"/>
        <color theme="10"/>
        <rFont val="Calibri"/>
        <family val="2"/>
      </rPr>
      <t>Morocco</t>
    </r>
  </si>
  <si>
    <r>
      <t> </t>
    </r>
    <r>
      <rPr>
        <u/>
        <sz val="11"/>
        <color theme="10"/>
        <rFont val="Calibri"/>
        <family val="2"/>
      </rPr>
      <t>Mauritania</t>
    </r>
  </si>
  <si>
    <r>
      <t> </t>
    </r>
    <r>
      <rPr>
        <u/>
        <sz val="11"/>
        <color theme="10"/>
        <rFont val="Calibri"/>
        <family val="2"/>
      </rPr>
      <t>Oman</t>
    </r>
  </si>
  <si>
    <r>
      <t> </t>
    </r>
    <r>
      <rPr>
        <u/>
        <sz val="11"/>
        <color theme="10"/>
        <rFont val="Calibri"/>
        <family val="2"/>
      </rPr>
      <t>Palestine</t>
    </r>
  </si>
  <si>
    <r>
      <t> </t>
    </r>
    <r>
      <rPr>
        <u/>
        <sz val="11"/>
        <color theme="10"/>
        <rFont val="Calibri"/>
        <family val="2"/>
      </rPr>
      <t>Qatar</t>
    </r>
  </si>
  <si>
    <r>
      <t> </t>
    </r>
    <r>
      <rPr>
        <u/>
        <sz val="11"/>
        <color theme="10"/>
        <rFont val="Calibri"/>
        <family val="2"/>
      </rPr>
      <t>Saudi Arabia</t>
    </r>
  </si>
  <si>
    <r>
      <t> </t>
    </r>
    <r>
      <rPr>
        <u/>
        <sz val="11"/>
        <color theme="10"/>
        <rFont val="Calibri"/>
        <family val="2"/>
      </rPr>
      <t>Sudan</t>
    </r>
  </si>
  <si>
    <r>
      <t> </t>
    </r>
    <r>
      <rPr>
        <u/>
        <sz val="11"/>
        <color theme="10"/>
        <rFont val="Calibri"/>
        <family val="2"/>
      </rPr>
      <t>Syria</t>
    </r>
  </si>
  <si>
    <r>
      <t> </t>
    </r>
    <r>
      <rPr>
        <u/>
        <sz val="11"/>
        <color theme="10"/>
        <rFont val="Calibri"/>
        <family val="2"/>
      </rPr>
      <t>Tunisia</t>
    </r>
  </si>
  <si>
    <r>
      <t> </t>
    </r>
    <r>
      <rPr>
        <u/>
        <sz val="11"/>
        <color theme="10"/>
        <rFont val="Calibri"/>
        <family val="2"/>
      </rPr>
      <t>United Arab Emirates</t>
    </r>
  </si>
  <si>
    <r>
      <t> </t>
    </r>
    <r>
      <rPr>
        <u/>
        <sz val="11"/>
        <color theme="10"/>
        <rFont val="Calibri"/>
        <family val="2"/>
      </rPr>
      <t>Yemen</t>
    </r>
  </si>
  <si>
    <r>
      <t> </t>
    </r>
    <r>
      <rPr>
        <u/>
        <sz val="11"/>
        <color theme="10"/>
        <rFont val="Calibri"/>
        <family val="2"/>
      </rPr>
      <t>Burundi</t>
    </r>
  </si>
  <si>
    <r>
      <t> </t>
    </r>
    <r>
      <rPr>
        <u/>
        <sz val="11"/>
        <color theme="10"/>
        <rFont val="Calibri"/>
        <family val="2"/>
      </rPr>
      <t>Djibouti</t>
    </r>
  </si>
  <si>
    <r>
      <t> </t>
    </r>
    <r>
      <rPr>
        <u/>
        <sz val="11"/>
        <color theme="10"/>
        <rFont val="Calibri"/>
        <family val="2"/>
      </rPr>
      <t>Eritrea</t>
    </r>
  </si>
  <si>
    <r>
      <t> </t>
    </r>
    <r>
      <rPr>
        <u/>
        <sz val="11"/>
        <color theme="10"/>
        <rFont val="Calibri"/>
        <family val="2"/>
      </rPr>
      <t>Ethiopia</t>
    </r>
  </si>
  <si>
    <r>
      <t> </t>
    </r>
    <r>
      <rPr>
        <u/>
        <sz val="11"/>
        <color theme="10"/>
        <rFont val="Calibri"/>
        <family val="2"/>
      </rPr>
      <t>Kenya</t>
    </r>
  </si>
  <si>
    <r>
      <t> </t>
    </r>
    <r>
      <rPr>
        <u/>
        <sz val="11"/>
        <color theme="10"/>
        <rFont val="Calibri"/>
        <family val="2"/>
      </rPr>
      <t>Rwanda</t>
    </r>
  </si>
  <si>
    <r>
      <t> </t>
    </r>
    <r>
      <rPr>
        <u/>
        <sz val="11"/>
        <color theme="10"/>
        <rFont val="Calibri"/>
        <family val="2"/>
      </rPr>
      <t>Somalia</t>
    </r>
  </si>
  <si>
    <r>
      <t> </t>
    </r>
    <r>
      <rPr>
        <u/>
        <sz val="11"/>
        <color theme="10"/>
        <rFont val="Calibri"/>
        <family val="2"/>
      </rPr>
      <t>South Sudan</t>
    </r>
  </si>
  <si>
    <r>
      <t> </t>
    </r>
    <r>
      <rPr>
        <u/>
        <sz val="11"/>
        <color theme="10"/>
        <rFont val="Calibri"/>
        <family val="2"/>
      </rPr>
      <t>Tanzania</t>
    </r>
  </si>
  <si>
    <r>
      <t> </t>
    </r>
    <r>
      <rPr>
        <u/>
        <sz val="11"/>
        <color theme="10"/>
        <rFont val="Calibri"/>
        <family val="2"/>
      </rPr>
      <t>Uganda</t>
    </r>
  </si>
  <si>
    <r>
      <t> </t>
    </r>
    <r>
      <rPr>
        <u/>
        <sz val="11"/>
        <color theme="10"/>
        <rFont val="Calibri"/>
        <family val="2"/>
      </rPr>
      <t>Cameroon</t>
    </r>
  </si>
  <si>
    <r>
      <t> </t>
    </r>
    <r>
      <rPr>
        <u/>
        <sz val="11"/>
        <color theme="10"/>
        <rFont val="Calibri"/>
        <family val="2"/>
      </rPr>
      <t>Central African Republic</t>
    </r>
  </si>
  <si>
    <r>
      <t> </t>
    </r>
    <r>
      <rPr>
        <u/>
        <sz val="11"/>
        <color theme="10"/>
        <rFont val="Calibri"/>
        <family val="2"/>
      </rPr>
      <t>Chad</t>
    </r>
  </si>
  <si>
    <r>
      <t> </t>
    </r>
    <r>
      <rPr>
        <u/>
        <sz val="11"/>
        <color theme="10"/>
        <rFont val="Calibri"/>
        <family val="2"/>
      </rPr>
      <t>Democratic Republic of the Congo</t>
    </r>
  </si>
  <si>
    <r>
      <t> </t>
    </r>
    <r>
      <rPr>
        <u/>
        <sz val="11"/>
        <color theme="10"/>
        <rFont val="Calibri"/>
        <family val="2"/>
      </rPr>
      <t>Republic of the Congo</t>
    </r>
  </si>
  <si>
    <r>
      <t> </t>
    </r>
    <r>
      <rPr>
        <u/>
        <sz val="11"/>
        <color theme="10"/>
        <rFont val="Calibri"/>
        <family val="2"/>
      </rPr>
      <t>Equatorial Guinea</t>
    </r>
  </si>
  <si>
    <r>
      <t> </t>
    </r>
    <r>
      <rPr>
        <u/>
        <sz val="11"/>
        <color theme="10"/>
        <rFont val="Calibri"/>
        <family val="2"/>
      </rPr>
      <t>Gabon</t>
    </r>
  </si>
  <si>
    <r>
      <t> </t>
    </r>
    <r>
      <rPr>
        <u/>
        <sz val="11"/>
        <color theme="10"/>
        <rFont val="Calibri"/>
        <family val="2"/>
      </rPr>
      <t>São Tomé and Príncipe</t>
    </r>
  </si>
  <si>
    <r>
      <t> </t>
    </r>
    <r>
      <rPr>
        <u/>
        <sz val="11"/>
        <color theme="10"/>
        <rFont val="Calibri"/>
        <family val="2"/>
      </rPr>
      <t>Angola</t>
    </r>
  </si>
  <si>
    <r>
      <t> </t>
    </r>
    <r>
      <rPr>
        <u/>
        <sz val="11"/>
        <color theme="10"/>
        <rFont val="Calibri"/>
        <family val="2"/>
      </rPr>
      <t>Botswana</t>
    </r>
  </si>
  <si>
    <r>
      <t> </t>
    </r>
    <r>
      <rPr>
        <u/>
        <sz val="11"/>
        <color theme="10"/>
        <rFont val="Calibri"/>
        <family val="2"/>
      </rPr>
      <t>Comoros</t>
    </r>
  </si>
  <si>
    <r>
      <t> </t>
    </r>
    <r>
      <rPr>
        <u/>
        <sz val="11"/>
        <color theme="10"/>
        <rFont val="Calibri"/>
        <family val="2"/>
      </rPr>
      <t>Eswatini</t>
    </r>
  </si>
  <si>
    <r>
      <t> </t>
    </r>
    <r>
      <rPr>
        <u/>
        <sz val="11"/>
        <color theme="10"/>
        <rFont val="Calibri"/>
        <family val="2"/>
      </rPr>
      <t>Lesotho</t>
    </r>
  </si>
  <si>
    <r>
      <t> </t>
    </r>
    <r>
      <rPr>
        <u/>
        <sz val="11"/>
        <color theme="10"/>
        <rFont val="Calibri"/>
        <family val="2"/>
      </rPr>
      <t>Madagascar</t>
    </r>
  </si>
  <si>
    <r>
      <t> </t>
    </r>
    <r>
      <rPr>
        <u/>
        <sz val="11"/>
        <color theme="10"/>
        <rFont val="Calibri"/>
        <family val="2"/>
      </rPr>
      <t>Malawi</t>
    </r>
  </si>
  <si>
    <r>
      <t> </t>
    </r>
    <r>
      <rPr>
        <u/>
        <sz val="11"/>
        <color theme="10"/>
        <rFont val="Calibri"/>
        <family val="2"/>
      </rPr>
      <t>Mauritius</t>
    </r>
  </si>
  <si>
    <r>
      <t> </t>
    </r>
    <r>
      <rPr>
        <u/>
        <sz val="11"/>
        <color theme="10"/>
        <rFont val="Calibri"/>
        <family val="2"/>
      </rPr>
      <t>Mozambique</t>
    </r>
  </si>
  <si>
    <r>
      <t> </t>
    </r>
    <r>
      <rPr>
        <u/>
        <sz val="11"/>
        <color theme="10"/>
        <rFont val="Calibri"/>
        <family val="2"/>
      </rPr>
      <t>Namibia</t>
    </r>
  </si>
  <si>
    <r>
      <t> </t>
    </r>
    <r>
      <rPr>
        <u/>
        <sz val="11"/>
        <color theme="10"/>
        <rFont val="Calibri"/>
        <family val="2"/>
      </rPr>
      <t>Seychelles</t>
    </r>
  </si>
  <si>
    <r>
      <t> </t>
    </r>
    <r>
      <rPr>
        <u/>
        <sz val="11"/>
        <color theme="10"/>
        <rFont val="Calibri"/>
        <family val="2"/>
      </rPr>
      <t>South Africa</t>
    </r>
  </si>
  <si>
    <r>
      <t> </t>
    </r>
    <r>
      <rPr>
        <u/>
        <sz val="11"/>
        <color theme="10"/>
        <rFont val="Calibri"/>
        <family val="2"/>
      </rPr>
      <t>Zambia</t>
    </r>
  </si>
  <si>
    <r>
      <t> </t>
    </r>
    <r>
      <rPr>
        <u/>
        <sz val="11"/>
        <color theme="10"/>
        <rFont val="Calibri"/>
        <family val="2"/>
      </rPr>
      <t>Zimbabwe</t>
    </r>
  </si>
  <si>
    <r>
      <t> </t>
    </r>
    <r>
      <rPr>
        <u/>
        <sz val="11"/>
        <color theme="10"/>
        <rFont val="Calibri"/>
        <family val="2"/>
      </rPr>
      <t>Benin</t>
    </r>
  </si>
  <si>
    <r>
      <t> </t>
    </r>
    <r>
      <rPr>
        <u/>
        <sz val="11"/>
        <color theme="10"/>
        <rFont val="Calibri"/>
        <family val="2"/>
      </rPr>
      <t>Burkina Faso</t>
    </r>
  </si>
  <si>
    <r>
      <t> </t>
    </r>
    <r>
      <rPr>
        <u/>
        <sz val="11"/>
        <color theme="10"/>
        <rFont val="Calibri"/>
        <family val="2"/>
      </rPr>
      <t>Cape Verde</t>
    </r>
  </si>
  <si>
    <r>
      <t> </t>
    </r>
    <r>
      <rPr>
        <u/>
        <sz val="11"/>
        <color theme="10"/>
        <rFont val="Calibri"/>
        <family val="2"/>
      </rPr>
      <t>Gambia</t>
    </r>
  </si>
  <si>
    <r>
      <t> </t>
    </r>
    <r>
      <rPr>
        <u/>
        <sz val="11"/>
        <color theme="10"/>
        <rFont val="Calibri"/>
        <family val="2"/>
      </rPr>
      <t>Ghana</t>
    </r>
  </si>
  <si>
    <r>
      <t> </t>
    </r>
    <r>
      <rPr>
        <u/>
        <sz val="11"/>
        <color theme="10"/>
        <rFont val="Calibri"/>
        <family val="2"/>
      </rPr>
      <t>Guinea</t>
    </r>
  </si>
  <si>
    <r>
      <t> </t>
    </r>
    <r>
      <rPr>
        <u/>
        <sz val="11"/>
        <color theme="10"/>
        <rFont val="Calibri"/>
        <family val="2"/>
      </rPr>
      <t>Guinea-Bissau</t>
    </r>
  </si>
  <si>
    <r>
      <t> </t>
    </r>
    <r>
      <rPr>
        <u/>
        <sz val="11"/>
        <color theme="10"/>
        <rFont val="Calibri"/>
        <family val="2"/>
      </rPr>
      <t>Ivory Coast</t>
    </r>
  </si>
  <si>
    <r>
      <t> </t>
    </r>
    <r>
      <rPr>
        <u/>
        <sz val="11"/>
        <color theme="10"/>
        <rFont val="Calibri"/>
        <family val="2"/>
      </rPr>
      <t>Liberia</t>
    </r>
  </si>
  <si>
    <r>
      <t> </t>
    </r>
    <r>
      <rPr>
        <u/>
        <sz val="11"/>
        <color theme="10"/>
        <rFont val="Calibri"/>
        <family val="2"/>
      </rPr>
      <t>Mali</t>
    </r>
  </si>
  <si>
    <r>
      <t> </t>
    </r>
    <r>
      <rPr>
        <u/>
        <sz val="11"/>
        <color theme="10"/>
        <rFont val="Calibri"/>
        <family val="2"/>
      </rPr>
      <t>Niger</t>
    </r>
  </si>
  <si>
    <r>
      <t> </t>
    </r>
    <r>
      <rPr>
        <u/>
        <sz val="11"/>
        <color theme="10"/>
        <rFont val="Calibri"/>
        <family val="2"/>
      </rPr>
      <t>Nigeria</t>
    </r>
  </si>
  <si>
    <r>
      <t> </t>
    </r>
    <r>
      <rPr>
        <u/>
        <sz val="11"/>
        <color theme="10"/>
        <rFont val="Calibri"/>
        <family val="2"/>
      </rPr>
      <t>Saint Helena, Ascension and Tristan da Cunha</t>
    </r>
  </si>
  <si>
    <r>
      <t> </t>
    </r>
    <r>
      <rPr>
        <u/>
        <sz val="11"/>
        <color theme="10"/>
        <rFont val="Calibri"/>
        <family val="2"/>
      </rPr>
      <t>Senegal</t>
    </r>
  </si>
  <si>
    <r>
      <t> </t>
    </r>
    <r>
      <rPr>
        <u/>
        <sz val="11"/>
        <color theme="10"/>
        <rFont val="Calibri"/>
        <family val="2"/>
      </rPr>
      <t>Sierra Leone</t>
    </r>
  </si>
  <si>
    <r>
      <t> </t>
    </r>
    <r>
      <rPr>
        <u/>
        <sz val="11"/>
        <color theme="10"/>
        <rFont val="Calibri"/>
        <family val="2"/>
      </rPr>
      <t>Togo</t>
    </r>
  </si>
  <si>
    <t> Czech Republic</t>
  </si>
  <si>
    <t> Russia</t>
  </si>
  <si>
    <t> Turkmenistan</t>
  </si>
  <si>
    <t> United Kingdom</t>
  </si>
  <si>
    <t> Bosnia and Herzegovina</t>
  </si>
  <si>
    <t>  Switzerland</t>
  </si>
  <si>
    <t> Iran</t>
  </si>
  <si>
    <t> Palestine</t>
  </si>
  <si>
    <t> Sudan</t>
  </si>
  <si>
    <t> Syria</t>
  </si>
  <si>
    <t> United Arab Emirates</t>
  </si>
  <si>
    <t> Yemen</t>
  </si>
  <si>
    <t> Eritrea</t>
  </si>
  <si>
    <t> Somalia</t>
  </si>
  <si>
    <t> South Sudan</t>
  </si>
  <si>
    <t> Central African Republic</t>
  </si>
  <si>
    <t> Democratic Republic of the Congo</t>
  </si>
  <si>
    <t> Republic of the Congo</t>
  </si>
  <si>
    <t> Equatorial Guinea</t>
  </si>
  <si>
    <t> São Tomé and Príncipe</t>
  </si>
  <si>
    <t> Comoros</t>
  </si>
  <si>
    <t> Ivory Coast</t>
  </si>
  <si>
    <t> Niger</t>
  </si>
  <si>
    <t> Saint Helena, Ascension and Tristan da Cunha</t>
  </si>
  <si>
    <t>Czech Republic</t>
  </si>
  <si>
    <t>Slovakia</t>
  </si>
  <si>
    <t>Kyrgyzstan</t>
  </si>
  <si>
    <t>Turkey</t>
  </si>
  <si>
    <t>Egypt</t>
  </si>
  <si>
    <t>Iran</t>
  </si>
  <si>
    <t>Palestine</t>
  </si>
  <si>
    <t>Syria</t>
  </si>
  <si>
    <t>Yemen</t>
  </si>
  <si>
    <t>Democratic Republic of the Congo</t>
  </si>
  <si>
    <t>Republic of the Congo</t>
  </si>
  <si>
    <t>São Tomé and Príncipe</t>
  </si>
  <si>
    <t>Cape Verde</t>
  </si>
  <si>
    <t>Gambia</t>
  </si>
  <si>
    <t>Ivory Coast</t>
  </si>
  <si>
    <t>Saint Helena, Ascension and Tristan da Cunha</t>
  </si>
  <si>
    <t>Geschätzter Umsatzanteil</t>
  </si>
  <si>
    <t>Netherlands profits in Euro</t>
  </si>
  <si>
    <t>The Vanguard Group, Inc.</t>
  </si>
  <si>
    <t>2,867,6578.034 %8 844 M $</t>
  </si>
  <si>
    <t> Capital Research &amp; Management Co. (World Investors)</t>
  </si>
  <si>
    <t>1,192,7313.342 %3 678 M $</t>
  </si>
  <si>
    <t> Geode Capital Management LLC</t>
  </si>
  <si>
    <t>744,3262.085 %2 295 M $</t>
  </si>
  <si>
    <t> T. Rowe Price Associates, Inc. (Investment Management)</t>
  </si>
  <si>
    <t>709,2551.987 %2 187 M $</t>
  </si>
  <si>
    <t> Dodge &amp; Cox</t>
  </si>
  <si>
    <t>668,4301.873 %2 061 M $</t>
  </si>
  <si>
    <t> Fidelity Management &amp; Research Co. LLC</t>
  </si>
  <si>
    <t>547,7471.535 %1 689 M $</t>
  </si>
  <si>
    <t> Norges Bank Investment Management</t>
  </si>
  <si>
    <t>530,0191.485 %1 635 M $</t>
  </si>
  <si>
    <t> Janus Henderson Investors US LLC</t>
  </si>
  <si>
    <t>429,0281.202 %1 323 M $</t>
  </si>
  <si>
    <t> JPMorgan Investment Management, Inc.</t>
  </si>
  <si>
    <t>334,8160.9381 %1 033 M $</t>
  </si>
  <si>
    <t> Schroder Investment Management Ltd.</t>
  </si>
  <si>
    <t>327,6190.9179 %1 010 M $</t>
  </si>
  <si>
    <t>Anteileigner</t>
  </si>
  <si>
    <t>Anteil</t>
  </si>
  <si>
    <t>Zusatzeinnahmen Pillar 1</t>
  </si>
  <si>
    <t>Zusatzeinnahmen 50/50 Formel</t>
  </si>
  <si>
    <t>Zusatzeinnahmen 50% auf Übergewinne</t>
  </si>
  <si>
    <t>https://www.fabio-de-masi.de/kontext/controllers/document.php/438.b/3/faa62e.pdf</t>
  </si>
  <si>
    <t>https://www.linksfraktion.de/fileadmin/user_upload/PDF_Dokumente/2021/210913_Digitalkonzerne_besteuern_L.pdf</t>
  </si>
  <si>
    <t>Big4 (w/o Amazon)</t>
  </si>
  <si>
    <t>Observation on special effects</t>
  </si>
  <si>
    <t>6,095bn cash-flow effect of deffered taxes on capitalized R&amp;D (als "current" erfasst, aber nicht in "total")</t>
  </si>
  <si>
    <t>3,3bn effect of transfer from Puerto Rico (reduziert "total" taxes via "deferred")</t>
  </si>
  <si>
    <t>Steuern global (casFflow)</t>
  </si>
  <si>
    <t>Steuersatz global (casFflow)</t>
  </si>
  <si>
    <t>Mitarbeiter DeutscFland</t>
  </si>
  <si>
    <t>Umsatz DeutscFland (dt. TöcFter)</t>
  </si>
  <si>
    <t>Gewinn DeutscFland (dt. TöcFter)</t>
  </si>
  <si>
    <t>Steuern DeutscFland (dt. TöcFter)</t>
  </si>
  <si>
    <t>Steuersatz DeutscFland (dt. TöcFter)</t>
  </si>
  <si>
    <t>GescFätzter Umsatzanteil DeutscFland</t>
  </si>
  <si>
    <t>GescFätzter Gewinnanteil DeutscFland</t>
  </si>
  <si>
    <t>GescFätzte Steuern DeutscFland</t>
  </si>
  <si>
    <t>ZusatzeinnaFmen Pillar 1</t>
  </si>
  <si>
    <t>ZusatzeinnaFmen 50/50 Formel</t>
  </si>
  <si>
    <t>ZusatzeinnaFmen 50% auf Übergewinne</t>
  </si>
  <si>
    <t>"Steuersatz" DeutscFland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</si>
</sst>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0\ %"/>
    <numFmt numFmtId="165" formatCode="0.00\ %"/>
    <numFmt numFmtId="166" formatCode="0.0%"/>
    <numFmt numFmtId="167" formatCode="0.0\ %"/>
    <numFmt numFmtId="169" formatCode="#,##0.0"/>
    <numFmt numFmtId="173" formatCode="#.##0"/>
    <numFmt numFmtId="174" formatCode="_-* #,##0.00_-;\-* #,##0.00_-;_-* &quot;-&quot;??_-;_-@_-"/>
    <numFmt numFmtId="175" formatCode="#,##0.##########"/>
    <numFmt numFmtId="176" formatCode="0.000\ %"/>
    <numFmt numFmtId="177" formatCode="dd&quot;.&quot;mm&quot;.&quot;yy"/>
    <numFmt numFmtId="178" formatCode="0.00000"/>
  </numFmts>
  <fonts count="36">
    <font>
      <sz val="11"/>
      <color rgb="FF000000"/>
      <name val="Calibri"/>
      <charset val="1"/>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charset val="1"/>
    </font>
    <font>
      <b/>
      <sz val="11"/>
      <color rgb="FFFFFFFF"/>
      <name val="Calibri"/>
      <family val="2"/>
      <charset val="1"/>
    </font>
    <font>
      <sz val="9"/>
      <color rgb="FF000000"/>
      <name val="Tahoma"/>
      <family val="2"/>
      <charset val="1"/>
    </font>
    <font>
      <b/>
      <sz val="11"/>
      <color rgb="FF000000"/>
      <name val="Calibri"/>
      <family val="2"/>
      <charset val="1"/>
    </font>
    <font>
      <b/>
      <sz val="11"/>
      <color rgb="FF000000"/>
      <name val="Calibri"/>
      <family val="2"/>
    </font>
    <font>
      <sz val="7"/>
      <color rgb="FF000000"/>
      <name val="Calibri"/>
      <family val="2"/>
      <charset val="1"/>
    </font>
    <font>
      <sz val="11"/>
      <color rgb="FFFF0000"/>
      <name val="Calibri"/>
      <family val="2"/>
      <charset val="1"/>
    </font>
    <font>
      <sz val="11"/>
      <color rgb="FF008000"/>
      <name val="Calibri"/>
      <family val="2"/>
      <charset val="1"/>
    </font>
    <font>
      <sz val="11"/>
      <color rgb="FF000000"/>
      <name val="Calibri"/>
      <family val="2"/>
    </font>
    <font>
      <sz val="11"/>
      <color theme="1"/>
      <name val="Liberation Sans"/>
    </font>
    <font>
      <b/>
      <sz val="11"/>
      <color theme="1"/>
      <name val="Calibri"/>
      <family val="2"/>
      <scheme val="minor"/>
    </font>
    <font>
      <sz val="9"/>
      <color indexed="81"/>
      <name val="Segoe UI"/>
      <family val="2"/>
    </font>
    <font>
      <b/>
      <sz val="9"/>
      <color indexed="81"/>
      <name val="Segoe UI"/>
      <family val="2"/>
    </font>
    <font>
      <sz val="10"/>
      <color rgb="FF000000"/>
      <name val="Times New Roman"/>
      <family val="1"/>
    </font>
    <font>
      <u/>
      <sz val="11"/>
      <color theme="10"/>
      <name val="Calibri"/>
      <family val="2"/>
      <scheme val="minor"/>
    </font>
    <font>
      <sz val="11"/>
      <name val="Calibri"/>
      <family val="2"/>
      <scheme val="minor"/>
    </font>
    <font>
      <u/>
      <sz val="11"/>
      <name val="Calibri"/>
      <family val="2"/>
      <scheme val="minor"/>
    </font>
    <font>
      <sz val="9"/>
      <color indexed="81"/>
      <name val="Segoe UI"/>
      <charset val="1"/>
    </font>
    <font>
      <b/>
      <sz val="9"/>
      <color indexed="81"/>
      <name val="Segoe UI"/>
      <charset val="1"/>
    </font>
    <font>
      <sz val="11"/>
      <color indexed="8"/>
      <name val="Calibri"/>
      <family val="2"/>
      <scheme val="minor"/>
    </font>
    <font>
      <sz val="9"/>
      <name val="Arial"/>
    </font>
    <font>
      <b/>
      <sz val="9"/>
      <name val="Arial"/>
    </font>
    <font>
      <b/>
      <sz val="9"/>
      <color indexed="9"/>
      <name val="Arial"/>
    </font>
    <font>
      <sz val="11"/>
      <color theme="1"/>
      <name val="Calibri"/>
      <scheme val="minor"/>
    </font>
    <font>
      <sz val="10"/>
      <color rgb="FF000000"/>
      <name val="Arial"/>
      <family val="2"/>
    </font>
    <font>
      <b/>
      <sz val="10"/>
      <color rgb="FF000000"/>
      <name val="Arial"/>
      <family val="2"/>
    </font>
    <font>
      <sz val="10"/>
      <name val="Times New Roman"/>
      <family val="1"/>
    </font>
    <font>
      <sz val="11"/>
      <color rgb="FF000000"/>
      <name val="Times New Roman"/>
      <family val="1"/>
    </font>
    <font>
      <sz val="8"/>
      <color rgb="FF000000"/>
      <name val="Times New Roman"/>
      <family val="1"/>
    </font>
    <font>
      <sz val="11"/>
      <color theme="1"/>
      <name val="Arial"/>
      <family val="2"/>
    </font>
    <font>
      <b/>
      <sz val="11"/>
      <color rgb="FFFFFFFF"/>
      <name val="Calibri"/>
      <family val="2"/>
    </font>
    <font>
      <u/>
      <sz val="11"/>
      <color theme="10"/>
      <name val="Calibri"/>
      <family val="2"/>
    </font>
  </fonts>
  <fills count="24">
    <fill>
      <patternFill patternType="none"/>
    </fill>
    <fill>
      <patternFill patternType="gray125"/>
    </fill>
    <fill>
      <patternFill patternType="solid">
        <fgColor rgb="FF1F497D"/>
        <bgColor rgb="FF003366"/>
      </patternFill>
    </fill>
    <fill>
      <patternFill patternType="solid">
        <fgColor rgb="FFFFFF00"/>
        <bgColor rgb="FFFFFF00"/>
      </patternFill>
    </fill>
    <fill>
      <patternFill patternType="solid">
        <fgColor rgb="FFFFC000"/>
        <bgColor rgb="FFFFFF00"/>
      </patternFill>
    </fill>
    <fill>
      <patternFill patternType="solid">
        <fgColor rgb="FFFFDBB6"/>
        <bgColor rgb="FFF7D1D5"/>
      </patternFill>
    </fill>
    <fill>
      <patternFill patternType="solid">
        <fgColor rgb="FFC6D9F1"/>
        <bgColor rgb="FFD9D9D9"/>
      </patternFill>
    </fill>
    <fill>
      <patternFill patternType="solid">
        <fgColor rgb="FFFFA6A6"/>
        <bgColor rgb="FFFF8080"/>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FFFFFF"/>
        <bgColor indexed="64"/>
      </patternFill>
    </fill>
    <fill>
      <patternFill patternType="solid">
        <fgColor rgb="FF5B9BD5"/>
        <bgColor indexed="64"/>
      </patternFill>
    </fill>
    <fill>
      <patternFill patternType="solid">
        <fgColor rgb="FFBDD6EE"/>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9" tint="0.59999389629810485"/>
        <bgColor indexed="64"/>
      </patternFill>
    </fill>
  </fills>
  <borders count="9">
    <border>
      <left/>
      <right/>
      <top/>
      <bottom/>
      <diagonal/>
    </border>
    <border>
      <left style="thin">
        <color rgb="FFF2F2F2"/>
      </left>
      <right style="thin">
        <color rgb="FFF2F2F2"/>
      </right>
      <top style="thin">
        <color rgb="FFF2F2F2"/>
      </top>
      <bottom style="thin">
        <color rgb="FFF2F2F2"/>
      </bottom>
      <diagonal/>
    </border>
    <border>
      <left/>
      <right/>
      <top style="thin">
        <color indexed="64"/>
      </top>
      <bottom style="thin">
        <color indexed="64"/>
      </bottom>
      <diagonal/>
    </border>
    <border>
      <left style="thin">
        <color rgb="FFB0B0B0"/>
      </left>
      <right style="thin">
        <color rgb="FFB0B0B0"/>
      </right>
      <top style="thin">
        <color rgb="FFB0B0B0"/>
      </top>
      <bottom style="thin">
        <color rgb="FFB0B0B0"/>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s>
  <cellStyleXfs count="11">
    <xf numFmtId="0" fontId="0" fillId="0" borderId="0"/>
    <xf numFmtId="164" fontId="12" fillId="0" borderId="0" applyBorder="0" applyProtection="0"/>
    <xf numFmtId="0" fontId="4" fillId="0" borderId="0"/>
    <xf numFmtId="0" fontId="13" fillId="0" borderId="0"/>
    <xf numFmtId="0" fontId="3" fillId="0" borderId="0"/>
    <xf numFmtId="9" fontId="3" fillId="0" borderId="0" applyFont="0" applyFill="0" applyBorder="0" applyAlignment="0" applyProtection="0"/>
    <xf numFmtId="174" fontId="3" fillId="0" borderId="0" applyFont="0" applyFill="0" applyBorder="0" applyAlignment="0" applyProtection="0"/>
    <xf numFmtId="0" fontId="18" fillId="0" borderId="0" applyNumberFormat="0" applyFill="0" applyBorder="0" applyAlignment="0" applyProtection="0"/>
    <xf numFmtId="0" fontId="23" fillId="0" borderId="0"/>
    <xf numFmtId="0" fontId="27" fillId="0" borderId="0"/>
    <xf numFmtId="0" fontId="2" fillId="0" borderId="0"/>
  </cellStyleXfs>
  <cellXfs count="235">
    <xf numFmtId="0" fontId="0" fillId="0" borderId="0" xfId="0"/>
    <xf numFmtId="0" fontId="4" fillId="0" borderId="1" xfId="0" applyFont="1" applyBorder="1"/>
    <xf numFmtId="0" fontId="5" fillId="2" borderId="0" xfId="0" applyFont="1" applyFill="1"/>
    <xf numFmtId="0" fontId="0" fillId="0" borderId="0" xfId="0" applyFont="1"/>
    <xf numFmtId="3" fontId="0" fillId="0" borderId="0" xfId="0" applyNumberFormat="1"/>
    <xf numFmtId="3" fontId="0" fillId="0" borderId="0" xfId="0" applyNumberFormat="1" applyFont="1" applyAlignment="1">
      <alignment horizontal="right" wrapText="1"/>
    </xf>
    <xf numFmtId="165" fontId="4" fillId="0" borderId="0" xfId="1" applyNumberFormat="1" applyFont="1" applyBorder="1" applyAlignment="1" applyProtection="1">
      <alignment horizontal="right" wrapText="1"/>
    </xf>
    <xf numFmtId="0" fontId="0" fillId="0" borderId="0" xfId="0" applyFont="1" applyAlignment="1">
      <alignment wrapText="1"/>
    </xf>
    <xf numFmtId="0" fontId="4" fillId="0" borderId="0" xfId="0" applyFont="1" applyAlignment="1">
      <alignment wrapText="1"/>
    </xf>
    <xf numFmtId="165" fontId="0" fillId="0" borderId="0" xfId="0" applyNumberFormat="1" applyFont="1"/>
    <xf numFmtId="0" fontId="4" fillId="0" borderId="0" xfId="0" applyFont="1"/>
    <xf numFmtId="165" fontId="0" fillId="0" borderId="0" xfId="1" applyNumberFormat="1" applyFont="1" applyBorder="1" applyAlignment="1" applyProtection="1"/>
    <xf numFmtId="165" fontId="0" fillId="0" borderId="0" xfId="0" applyNumberFormat="1"/>
    <xf numFmtId="164" fontId="0" fillId="0" borderId="0" xfId="1" applyFont="1" applyBorder="1" applyAlignment="1" applyProtection="1"/>
    <xf numFmtId="4" fontId="0" fillId="0" borderId="0" xfId="0" applyNumberFormat="1"/>
    <xf numFmtId="4" fontId="4" fillId="0" borderId="0" xfId="0" applyNumberFormat="1" applyFont="1" applyAlignment="1">
      <alignment horizontal="right" wrapText="1"/>
    </xf>
    <xf numFmtId="4" fontId="0" fillId="0" borderId="0" xfId="0" applyNumberFormat="1" applyFont="1" applyAlignment="1">
      <alignment horizontal="right"/>
    </xf>
    <xf numFmtId="3" fontId="0" fillId="3" borderId="0" xfId="0" applyNumberFormat="1" applyFont="1" applyFill="1" applyAlignment="1">
      <alignment horizontal="right" wrapText="1"/>
    </xf>
    <xf numFmtId="0" fontId="5" fillId="2" borderId="0" xfId="0" applyFont="1" applyFill="1" applyAlignment="1">
      <alignment wrapText="1"/>
    </xf>
    <xf numFmtId="3" fontId="4" fillId="0" borderId="0" xfId="0" applyNumberFormat="1" applyFont="1"/>
    <xf numFmtId="1" fontId="0" fillId="0" borderId="0" xfId="0" applyNumberFormat="1"/>
    <xf numFmtId="3" fontId="0" fillId="0" borderId="0" xfId="0" applyNumberFormat="1" applyFont="1"/>
    <xf numFmtId="4" fontId="0" fillId="0" borderId="0" xfId="0" applyNumberFormat="1" applyFont="1" applyAlignment="1">
      <alignment horizontal="right" wrapText="1"/>
    </xf>
    <xf numFmtId="0" fontId="0" fillId="6" borderId="0" xfId="0" applyFont="1" applyFill="1"/>
    <xf numFmtId="4" fontId="4" fillId="0" borderId="0" xfId="0" applyNumberFormat="1" applyFont="1"/>
    <xf numFmtId="4" fontId="4" fillId="0" borderId="0" xfId="0" applyNumberFormat="1" applyFont="1" applyAlignment="1">
      <alignment horizontal="right"/>
    </xf>
    <xf numFmtId="3" fontId="0" fillId="5" borderId="0" xfId="0" applyNumberFormat="1" applyFill="1"/>
    <xf numFmtId="0" fontId="0" fillId="5" borderId="0" xfId="0" applyFill="1"/>
    <xf numFmtId="165" fontId="0" fillId="5" borderId="0" xfId="0" applyNumberFormat="1" applyFill="1"/>
    <xf numFmtId="0" fontId="0" fillId="7" borderId="0" xfId="0" applyFont="1" applyFill="1"/>
    <xf numFmtId="0" fontId="0" fillId="0" borderId="0" xfId="0" applyAlignment="1">
      <alignment wrapText="1"/>
    </xf>
    <xf numFmtId="166" fontId="0" fillId="0" borderId="0" xfId="1" applyNumberFormat="1" applyFont="1" applyBorder="1" applyAlignment="1" applyProtection="1"/>
    <xf numFmtId="0" fontId="7" fillId="0" borderId="0" xfId="0" applyFont="1"/>
    <xf numFmtId="0" fontId="8" fillId="6" borderId="0" xfId="0" applyFont="1" applyFill="1" applyAlignment="1">
      <alignment horizontal="left"/>
    </xf>
    <xf numFmtId="0" fontId="0" fillId="0" borderId="0" xfId="0" applyFont="1"/>
    <xf numFmtId="165" fontId="0" fillId="0" borderId="0" xfId="0" applyNumberFormat="1"/>
    <xf numFmtId="164" fontId="0" fillId="0" borderId="0" xfId="0" applyNumberFormat="1"/>
    <xf numFmtId="0" fontId="7" fillId="0" borderId="0" xfId="0" applyFont="1" applyAlignment="1"/>
    <xf numFmtId="0" fontId="9" fillId="0" borderId="0" xfId="0" applyFont="1"/>
    <xf numFmtId="0" fontId="7" fillId="0" borderId="0" xfId="0" applyFont="1" applyAlignment="1">
      <alignment wrapText="1"/>
    </xf>
    <xf numFmtId="3" fontId="4" fillId="3" borderId="0" xfId="0" applyNumberFormat="1" applyFont="1" applyFill="1"/>
    <xf numFmtId="3" fontId="4" fillId="3" borderId="0" xfId="0" applyNumberFormat="1" applyFont="1" applyFill="1" applyAlignment="1">
      <alignment horizontal="right" wrapText="1"/>
    </xf>
    <xf numFmtId="3" fontId="0" fillId="4" borderId="0" xfId="0" applyNumberFormat="1" applyFont="1" applyFill="1" applyAlignment="1">
      <alignment horizontal="right" wrapText="1"/>
    </xf>
    <xf numFmtId="165" fontId="4" fillId="3" borderId="0" xfId="1" applyNumberFormat="1" applyFont="1" applyFill="1" applyBorder="1" applyAlignment="1" applyProtection="1">
      <alignment horizontal="right" wrapText="1"/>
    </xf>
    <xf numFmtId="165" fontId="4" fillId="4" borderId="0" xfId="1" applyNumberFormat="1" applyFont="1" applyFill="1" applyBorder="1" applyAlignment="1" applyProtection="1">
      <alignment horizontal="right" wrapText="1"/>
    </xf>
    <xf numFmtId="0" fontId="0" fillId="7" borderId="0" xfId="0" applyFill="1"/>
    <xf numFmtId="4" fontId="4" fillId="3" borderId="0" xfId="0" applyNumberFormat="1" applyFont="1" applyFill="1"/>
    <xf numFmtId="4" fontId="0" fillId="3" borderId="0" xfId="0" applyNumberFormat="1" applyFill="1"/>
    <xf numFmtId="4" fontId="0" fillId="4" borderId="0" xfId="0" applyNumberFormat="1" applyFill="1"/>
    <xf numFmtId="165" fontId="0" fillId="3" borderId="0" xfId="0" applyNumberFormat="1" applyFill="1"/>
    <xf numFmtId="0" fontId="0" fillId="3" borderId="0" xfId="0" applyFill="1"/>
    <xf numFmtId="49" fontId="7" fillId="0" borderId="0" xfId="0" applyNumberFormat="1" applyFont="1" applyAlignment="1">
      <alignment vertical="center"/>
    </xf>
    <xf numFmtId="49" fontId="7" fillId="0" borderId="0" xfId="0" applyNumberFormat="1" applyFont="1" applyAlignment="1">
      <alignment horizontal="center" vertical="center"/>
    </xf>
    <xf numFmtId="49" fontId="4" fillId="0" borderId="0" xfId="0" applyNumberFormat="1" applyFont="1" applyAlignment="1">
      <alignment horizontal="center" vertical="center"/>
    </xf>
    <xf numFmtId="49" fontId="10" fillId="0" borderId="0" xfId="0" applyNumberFormat="1" applyFont="1" applyAlignment="1">
      <alignment horizontal="center" vertical="center"/>
    </xf>
    <xf numFmtId="49" fontId="11" fillId="0" borderId="0" xfId="0" applyNumberFormat="1" applyFont="1" applyAlignment="1">
      <alignment horizontal="center" vertical="center"/>
    </xf>
    <xf numFmtId="0" fontId="0" fillId="0" borderId="0" xfId="0" applyFont="1" applyFill="1" applyBorder="1"/>
    <xf numFmtId="164" fontId="12" fillId="0" borderId="0" xfId="1"/>
    <xf numFmtId="0" fontId="0" fillId="0" borderId="0" xfId="0" applyFont="1" applyAlignment="1"/>
    <xf numFmtId="0" fontId="5" fillId="2" borderId="0" xfId="0" applyFont="1" applyFill="1" applyAlignment="1"/>
    <xf numFmtId="0" fontId="12" fillId="0" borderId="0" xfId="0" applyFont="1"/>
    <xf numFmtId="167" fontId="12" fillId="0" borderId="0" xfId="1" applyNumberFormat="1"/>
    <xf numFmtId="4" fontId="4" fillId="0" borderId="0" xfId="0" applyNumberFormat="1" applyFont="1" applyFill="1" applyAlignment="1">
      <alignment horizontal="right"/>
    </xf>
    <xf numFmtId="4" fontId="0" fillId="0" borderId="0" xfId="0" applyNumberFormat="1" applyFont="1" applyFill="1" applyAlignment="1">
      <alignment horizontal="right"/>
    </xf>
    <xf numFmtId="0" fontId="0" fillId="0" borderId="0" xfId="0" applyFont="1" applyFill="1" applyAlignment="1">
      <alignment horizontal="right"/>
    </xf>
    <xf numFmtId="3" fontId="0" fillId="0" borderId="0" xfId="0" applyNumberFormat="1" applyFont="1" applyFill="1" applyAlignment="1">
      <alignment horizontal="right" wrapText="1"/>
    </xf>
    <xf numFmtId="0" fontId="12" fillId="8" borderId="0" xfId="0" applyFont="1" applyFill="1"/>
    <xf numFmtId="0" fontId="0" fillId="0" borderId="0" xfId="0" applyAlignment="1"/>
    <xf numFmtId="0" fontId="4" fillId="0" borderId="0" xfId="0" applyFont="1" applyAlignment="1"/>
    <xf numFmtId="0" fontId="0" fillId="7" borderId="0" xfId="0" applyFont="1" applyFill="1" applyAlignment="1"/>
    <xf numFmtId="0" fontId="12" fillId="0" borderId="0" xfId="0" applyFont="1" applyAlignment="1"/>
    <xf numFmtId="0" fontId="0" fillId="8" borderId="0" xfId="0" applyFill="1"/>
    <xf numFmtId="3" fontId="0" fillId="0" borderId="0" xfId="0" applyNumberFormat="1" applyFill="1"/>
    <xf numFmtId="164" fontId="0" fillId="0" borderId="0" xfId="1" applyFont="1" applyFill="1" applyBorder="1" applyAlignment="1" applyProtection="1"/>
    <xf numFmtId="0" fontId="17" fillId="0" borderId="0" xfId="0" applyFont="1"/>
    <xf numFmtId="3" fontId="12" fillId="0" borderId="0" xfId="0" applyNumberFormat="1" applyFont="1"/>
    <xf numFmtId="0" fontId="14" fillId="9" borderId="0" xfId="4" applyFont="1" applyFill="1"/>
    <xf numFmtId="173" fontId="14" fillId="9" borderId="0" xfId="4" applyNumberFormat="1" applyFont="1" applyFill="1"/>
    <xf numFmtId="166" fontId="14" fillId="9" borderId="0" xfId="5" applyNumberFormat="1" applyFont="1" applyFill="1"/>
    <xf numFmtId="0" fontId="3" fillId="9" borderId="0" xfId="4" applyFill="1"/>
    <xf numFmtId="3" fontId="14" fillId="9" borderId="0" xfId="4" applyNumberFormat="1" applyFont="1" applyFill="1"/>
    <xf numFmtId="166" fontId="14" fillId="9" borderId="0" xfId="4" applyNumberFormat="1" applyFont="1" applyFill="1"/>
    <xf numFmtId="0" fontId="3" fillId="0" borderId="0" xfId="4" applyFill="1"/>
    <xf numFmtId="3" fontId="3" fillId="0" borderId="0" xfId="4" applyNumberFormat="1" applyFill="1"/>
    <xf numFmtId="174" fontId="0" fillId="0" borderId="0" xfId="6" applyFont="1" applyFill="1"/>
    <xf numFmtId="166" fontId="0" fillId="0" borderId="0" xfId="5" applyNumberFormat="1" applyFont="1" applyFill="1"/>
    <xf numFmtId="3" fontId="3" fillId="0" borderId="0" xfId="4" applyNumberFormat="1" applyFill="1" applyAlignment="1">
      <alignment horizontal="right"/>
    </xf>
    <xf numFmtId="4" fontId="3" fillId="0" borderId="0" xfId="4" applyNumberFormat="1" applyFill="1" applyAlignment="1">
      <alignment horizontal="right"/>
    </xf>
    <xf numFmtId="0" fontId="3" fillId="0" borderId="0" xfId="4"/>
    <xf numFmtId="0" fontId="3" fillId="10" borderId="0" xfId="4" applyFill="1" applyAlignment="1">
      <alignment horizontal="right"/>
    </xf>
    <xf numFmtId="174" fontId="0" fillId="0" borderId="0" xfId="6" applyFont="1" applyFill="1" applyAlignment="1">
      <alignment horizontal="right"/>
    </xf>
    <xf numFmtId="0" fontId="3" fillId="0" borderId="0" xfId="4" applyFill="1" applyAlignment="1">
      <alignment horizontal="right"/>
    </xf>
    <xf numFmtId="0" fontId="14" fillId="0" borderId="2" xfId="4" applyFont="1" applyBorder="1"/>
    <xf numFmtId="3" fontId="14" fillId="0" borderId="2" xfId="4" applyNumberFormat="1" applyFont="1" applyBorder="1"/>
    <xf numFmtId="166" fontId="14" fillId="0" borderId="2" xfId="5" applyNumberFormat="1" applyFont="1" applyBorder="1"/>
    <xf numFmtId="166" fontId="14" fillId="0" borderId="2" xfId="4" applyNumberFormat="1" applyFont="1" applyBorder="1"/>
    <xf numFmtId="0" fontId="3" fillId="0" borderId="0" xfId="4" applyFont="1" applyBorder="1"/>
    <xf numFmtId="3" fontId="3" fillId="0" borderId="0" xfId="4" applyNumberFormat="1" applyFont="1" applyBorder="1"/>
    <xf numFmtId="166" fontId="3" fillId="0" borderId="0" xfId="5" applyNumberFormat="1" applyFont="1" applyBorder="1"/>
    <xf numFmtId="166" fontId="3" fillId="0" borderId="0" xfId="4" applyNumberFormat="1" applyFont="1" applyBorder="1"/>
    <xf numFmtId="0" fontId="3" fillId="0" borderId="0" xfId="4" applyFont="1" applyFill="1" applyBorder="1"/>
    <xf numFmtId="0" fontId="19" fillId="0" borderId="0" xfId="7" applyFont="1"/>
    <xf numFmtId="0" fontId="3" fillId="0" borderId="0" xfId="4" applyAlignment="1">
      <alignment horizontal="right"/>
    </xf>
    <xf numFmtId="174" fontId="0" fillId="0" borderId="0" xfId="6" applyFont="1"/>
    <xf numFmtId="166" fontId="0" fillId="0" borderId="0" xfId="5" applyNumberFormat="1" applyFont="1"/>
    <xf numFmtId="3" fontId="3" fillId="0" borderId="0" xfId="4" applyNumberFormat="1"/>
    <xf numFmtId="0" fontId="19" fillId="0" borderId="0" xfId="4" applyFont="1" applyFill="1"/>
    <xf numFmtId="10" fontId="0" fillId="0" borderId="0" xfId="5" applyNumberFormat="1" applyFont="1"/>
    <xf numFmtId="10" fontId="0" fillId="0" borderId="0" xfId="5" applyNumberFormat="1" applyFont="1" applyAlignment="1">
      <alignment horizontal="right"/>
    </xf>
    <xf numFmtId="4" fontId="3" fillId="0" borderId="0" xfId="4" applyNumberFormat="1" applyAlignment="1">
      <alignment horizontal="right"/>
    </xf>
    <xf numFmtId="174" fontId="0" fillId="0" borderId="0" xfId="6" applyFont="1" applyAlignment="1">
      <alignment horizontal="right"/>
    </xf>
    <xf numFmtId="0" fontId="20" fillId="11" borderId="0" xfId="7" applyFont="1" applyFill="1"/>
    <xf numFmtId="0" fontId="3" fillId="11" borderId="0" xfId="4" applyFill="1"/>
    <xf numFmtId="4" fontId="3" fillId="11" borderId="0" xfId="4" applyNumberFormat="1" applyFill="1" applyAlignment="1">
      <alignment horizontal="right"/>
    </xf>
    <xf numFmtId="174" fontId="0" fillId="11" borderId="0" xfId="6" applyFont="1" applyFill="1"/>
    <xf numFmtId="166" fontId="0" fillId="11" borderId="0" xfId="5" applyNumberFormat="1" applyFont="1" applyFill="1"/>
    <xf numFmtId="3" fontId="3" fillId="11" borderId="0" xfId="4" applyNumberFormat="1" applyFill="1"/>
    <xf numFmtId="10" fontId="0" fillId="11" borderId="0" xfId="5" applyNumberFormat="1" applyFont="1" applyFill="1"/>
    <xf numFmtId="10" fontId="0" fillId="11" borderId="0" xfId="5" applyNumberFormat="1" applyFont="1" applyFill="1" applyAlignment="1">
      <alignment horizontal="right"/>
    </xf>
    <xf numFmtId="4" fontId="3" fillId="0" borderId="0" xfId="4" applyNumberFormat="1"/>
    <xf numFmtId="174" fontId="0" fillId="8" borderId="0" xfId="6" applyFont="1" applyFill="1" applyAlignment="1">
      <alignment horizontal="right"/>
    </xf>
    <xf numFmtId="10" fontId="0" fillId="8" borderId="0" xfId="5" applyNumberFormat="1" applyFont="1" applyFill="1"/>
    <xf numFmtId="4" fontId="3" fillId="11" borderId="0" xfId="4" applyNumberFormat="1" applyFill="1"/>
    <xf numFmtId="0" fontId="3" fillId="11" borderId="0" xfId="4" applyFill="1" applyAlignment="1">
      <alignment horizontal="right"/>
    </xf>
    <xf numFmtId="10" fontId="0" fillId="10" borderId="0" xfId="5" applyNumberFormat="1" applyFont="1" applyFill="1" applyAlignment="1"/>
    <xf numFmtId="0" fontId="19" fillId="0" borderId="0" xfId="4" applyFont="1" applyFill="1" applyBorder="1"/>
    <xf numFmtId="0" fontId="3" fillId="0" borderId="0" xfId="4" applyFill="1" applyBorder="1"/>
    <xf numFmtId="4" fontId="3" fillId="0" borderId="0" xfId="4" applyNumberFormat="1" applyBorder="1" applyAlignment="1">
      <alignment horizontal="right"/>
    </xf>
    <xf numFmtId="174" fontId="0" fillId="0" borderId="0" xfId="6" applyFont="1" applyBorder="1"/>
    <xf numFmtId="166" fontId="0" fillId="0" borderId="0" xfId="5" applyNumberFormat="1" applyFont="1" applyBorder="1"/>
    <xf numFmtId="3" fontId="3" fillId="0" borderId="0" xfId="4" applyNumberFormat="1" applyBorder="1"/>
    <xf numFmtId="10" fontId="0" fillId="0" borderId="0" xfId="5" applyNumberFormat="1" applyFont="1" applyBorder="1"/>
    <xf numFmtId="10" fontId="0" fillId="0" borderId="0" xfId="5" applyNumberFormat="1" applyFont="1" applyBorder="1" applyAlignment="1">
      <alignment horizontal="right"/>
    </xf>
    <xf numFmtId="0" fontId="3" fillId="0" borderId="0" xfId="4" applyBorder="1"/>
    <xf numFmtId="0" fontId="20" fillId="11" borderId="0" xfId="7" applyFont="1" applyFill="1" applyBorder="1"/>
    <xf numFmtId="0" fontId="3" fillId="11" borderId="0" xfId="4" applyFill="1" applyBorder="1"/>
    <xf numFmtId="4" fontId="3" fillId="11" borderId="0" xfId="4" applyNumberFormat="1" applyFill="1" applyBorder="1" applyAlignment="1">
      <alignment horizontal="right"/>
    </xf>
    <xf numFmtId="174" fontId="0" fillId="11" borderId="0" xfId="6" applyFont="1" applyFill="1" applyBorder="1"/>
    <xf numFmtId="166" fontId="0" fillId="11" borderId="0" xfId="5" applyNumberFormat="1" applyFont="1" applyFill="1" applyBorder="1"/>
    <xf numFmtId="4" fontId="3" fillId="11" borderId="0" xfId="4" applyNumberFormat="1" applyFill="1" applyBorder="1"/>
    <xf numFmtId="3" fontId="3" fillId="11" borderId="0" xfId="4" applyNumberFormat="1" applyFill="1" applyBorder="1"/>
    <xf numFmtId="10" fontId="0" fillId="11" borderId="0" xfId="5" applyNumberFormat="1" applyFont="1" applyFill="1" applyBorder="1"/>
    <xf numFmtId="10" fontId="0" fillId="11" borderId="0" xfId="5" applyNumberFormat="1" applyFont="1" applyFill="1" applyBorder="1" applyAlignment="1">
      <alignment horizontal="right"/>
    </xf>
    <xf numFmtId="4" fontId="3" fillId="0" borderId="0" xfId="4" applyNumberFormat="1" applyBorder="1"/>
    <xf numFmtId="0" fontId="19" fillId="0" borderId="0" xfId="7" applyFont="1" applyBorder="1"/>
    <xf numFmtId="0" fontId="3" fillId="0" borderId="0" xfId="6" applyNumberFormat="1" applyFont="1" applyBorder="1"/>
    <xf numFmtId="0" fontId="14" fillId="0" borderId="0" xfId="4" applyFont="1" applyBorder="1"/>
    <xf numFmtId="0" fontId="18" fillId="11" borderId="0" xfId="7" applyFill="1" applyBorder="1"/>
    <xf numFmtId="0" fontId="3" fillId="11" borderId="0" xfId="4" applyFill="1" applyBorder="1" applyAlignment="1">
      <alignment horizontal="right"/>
    </xf>
    <xf numFmtId="0" fontId="14" fillId="0" borderId="2" xfId="4" applyFont="1" applyFill="1" applyBorder="1"/>
    <xf numFmtId="174" fontId="3" fillId="0" borderId="2" xfId="6" applyFont="1" applyBorder="1"/>
    <xf numFmtId="166" fontId="3" fillId="0" borderId="2" xfId="5" applyNumberFormat="1" applyFont="1" applyBorder="1"/>
    <xf numFmtId="174" fontId="14" fillId="0" borderId="2" xfId="6" applyFont="1" applyBorder="1"/>
    <xf numFmtId="9" fontId="14" fillId="0" borderId="2" xfId="5" applyFont="1" applyBorder="1"/>
    <xf numFmtId="0" fontId="3" fillId="0" borderId="2" xfId="4" applyBorder="1"/>
    <xf numFmtId="173" fontId="3" fillId="0" borderId="0" xfId="4" applyNumberFormat="1"/>
    <xf numFmtId="9" fontId="3" fillId="0" borderId="0" xfId="4" applyNumberFormat="1"/>
    <xf numFmtId="174" fontId="3" fillId="0" borderId="0" xfId="4" applyNumberFormat="1"/>
    <xf numFmtId="43" fontId="3" fillId="0" borderId="0" xfId="4" applyNumberFormat="1"/>
    <xf numFmtId="165" fontId="12" fillId="0" borderId="0" xfId="1" applyNumberFormat="1"/>
    <xf numFmtId="167" fontId="12" fillId="0" borderId="0" xfId="1" applyNumberFormat="1" applyBorder="1" applyAlignment="1" applyProtection="1">
      <alignment horizontal="left"/>
    </xf>
    <xf numFmtId="165" fontId="4" fillId="8" borderId="0" xfId="1" applyNumberFormat="1" applyFont="1" applyFill="1" applyBorder="1" applyAlignment="1" applyProtection="1">
      <alignment horizontal="right" wrapText="1"/>
    </xf>
    <xf numFmtId="16" fontId="0" fillId="0" borderId="0" xfId="0" applyNumberFormat="1"/>
    <xf numFmtId="4" fontId="0" fillId="8" borderId="0" xfId="0" applyNumberFormat="1" applyFill="1"/>
    <xf numFmtId="3" fontId="0" fillId="8" borderId="0" xfId="0" applyNumberFormat="1" applyFill="1"/>
    <xf numFmtId="10" fontId="0" fillId="0" borderId="0" xfId="0" applyNumberFormat="1"/>
    <xf numFmtId="0" fontId="24" fillId="0" borderId="0" xfId="8" applyFont="1" applyAlignment="1">
      <alignment horizontal="left" vertical="center"/>
    </xf>
    <xf numFmtId="0" fontId="23" fillId="0" borderId="0" xfId="8"/>
    <xf numFmtId="0" fontId="25" fillId="0" borderId="0" xfId="8" applyFont="1" applyAlignment="1">
      <alignment horizontal="left" vertical="center"/>
    </xf>
    <xf numFmtId="0" fontId="26" fillId="12" borderId="3" xfId="8" applyFont="1" applyFill="1" applyBorder="1" applyAlignment="1">
      <alignment horizontal="right" vertical="center"/>
    </xf>
    <xf numFmtId="0" fontId="25" fillId="13" borderId="3" xfId="8" applyFont="1" applyFill="1" applyBorder="1" applyAlignment="1">
      <alignment horizontal="left" vertical="center"/>
    </xf>
    <xf numFmtId="0" fontId="23" fillId="14" borderId="0" xfId="8" applyFill="1"/>
    <xf numFmtId="0" fontId="25" fillId="15" borderId="3" xfId="8" applyFont="1" applyFill="1" applyBorder="1" applyAlignment="1">
      <alignment horizontal="left" vertical="center"/>
    </xf>
    <xf numFmtId="175" fontId="24" fillId="0" borderId="0" xfId="8" applyNumberFormat="1" applyFont="1" applyAlignment="1">
      <alignment horizontal="right" vertical="center" shrinkToFit="1"/>
    </xf>
    <xf numFmtId="3" fontId="24" fillId="0" borderId="0" xfId="8" applyNumberFormat="1" applyFont="1" applyAlignment="1">
      <alignment horizontal="right" vertical="center" shrinkToFit="1"/>
    </xf>
    <xf numFmtId="169" fontId="24" fillId="0" borderId="0" xfId="8" applyNumberFormat="1" applyFont="1" applyAlignment="1">
      <alignment horizontal="right" vertical="center" shrinkToFit="1"/>
    </xf>
    <xf numFmtId="169" fontId="24" fillId="16" borderId="0" xfId="8" applyNumberFormat="1" applyFont="1" applyFill="1" applyAlignment="1">
      <alignment horizontal="right" vertical="center" shrinkToFit="1"/>
    </xf>
    <xf numFmtId="3" fontId="24" fillId="16" borderId="0" xfId="8" applyNumberFormat="1" applyFont="1" applyFill="1" applyAlignment="1">
      <alignment horizontal="right" vertical="center" shrinkToFit="1"/>
    </xf>
    <xf numFmtId="175" fontId="24" fillId="16" borderId="0" xfId="8" applyNumberFormat="1" applyFont="1" applyFill="1" applyAlignment="1">
      <alignment horizontal="right" vertical="center" shrinkToFit="1"/>
    </xf>
    <xf numFmtId="0" fontId="27" fillId="0" borderId="0" xfId="9"/>
    <xf numFmtId="14" fontId="27" fillId="0" borderId="0" xfId="9" applyNumberFormat="1"/>
    <xf numFmtId="49" fontId="0" fillId="0" borderId="0" xfId="0" applyNumberFormat="1"/>
    <xf numFmtId="2" fontId="12" fillId="0" borderId="0" xfId="0" applyNumberFormat="1" applyFont="1"/>
    <xf numFmtId="176" fontId="12" fillId="0" borderId="0" xfId="1" applyNumberFormat="1"/>
    <xf numFmtId="3" fontId="28" fillId="17" borderId="0" xfId="0" applyNumberFormat="1" applyFont="1" applyFill="1" applyAlignment="1">
      <alignment horizontal="right" vertical="center" wrapText="1"/>
    </xf>
    <xf numFmtId="3" fontId="29" fillId="17" borderId="0" xfId="0" applyNumberFormat="1" applyFont="1" applyFill="1" applyAlignment="1">
      <alignment vertical="center" wrapText="1"/>
    </xf>
    <xf numFmtId="0" fontId="30" fillId="0" borderId="0" xfId="0" applyFont="1" applyAlignment="1">
      <alignment horizontal="right" vertical="center" wrapText="1"/>
    </xf>
    <xf numFmtId="0" fontId="32" fillId="0" borderId="0" xfId="0" applyFont="1"/>
    <xf numFmtId="177" fontId="0" fillId="0" borderId="0" xfId="0" applyNumberFormat="1"/>
    <xf numFmtId="178" fontId="0" fillId="0" borderId="0" xfId="0" applyNumberFormat="1"/>
    <xf numFmtId="178" fontId="33" fillId="0" borderId="0" xfId="0" applyNumberFormat="1" applyFont="1" applyAlignment="1">
      <alignment horizontal="right"/>
    </xf>
    <xf numFmtId="178" fontId="0" fillId="0" borderId="0" xfId="0" applyNumberFormat="1" applyAlignment="1">
      <alignment horizontal="right"/>
    </xf>
    <xf numFmtId="2" fontId="4" fillId="0" borderId="0" xfId="0" applyNumberFormat="1" applyFont="1" applyAlignment="1">
      <alignment horizontal="center" vertical="center"/>
    </xf>
    <xf numFmtId="3" fontId="30" fillId="0" borderId="0" xfId="0" applyNumberFormat="1" applyFont="1" applyAlignment="1">
      <alignment horizontal="right" vertical="center" wrapText="1"/>
    </xf>
    <xf numFmtId="3" fontId="32" fillId="0" borderId="0" xfId="0" applyNumberFormat="1" applyFont="1"/>
    <xf numFmtId="3" fontId="31" fillId="0" borderId="0" xfId="0" applyNumberFormat="1" applyFont="1" applyAlignment="1">
      <alignment wrapText="1"/>
    </xf>
    <xf numFmtId="14" fontId="0" fillId="0" borderId="0" xfId="0" applyNumberFormat="1"/>
    <xf numFmtId="0" fontId="12" fillId="18" borderId="4" xfId="0" applyFont="1" applyFill="1" applyBorder="1" applyAlignment="1">
      <alignment vertical="top"/>
    </xf>
    <xf numFmtId="0" fontId="34" fillId="18" borderId="5" xfId="0" applyFont="1" applyFill="1" applyBorder="1" applyAlignment="1">
      <alignment vertical="center"/>
    </xf>
    <xf numFmtId="0" fontId="34" fillId="18" borderId="5" xfId="0" applyFont="1" applyFill="1" applyBorder="1" applyAlignment="1">
      <alignment vertical="center" wrapText="1"/>
    </xf>
    <xf numFmtId="0" fontId="12" fillId="18" borderId="5" xfId="0" applyFont="1" applyFill="1" applyBorder="1" applyAlignment="1">
      <alignment vertical="top"/>
    </xf>
    <xf numFmtId="0" fontId="34" fillId="18" borderId="6" xfId="0" applyFont="1" applyFill="1" applyBorder="1" applyAlignment="1">
      <alignment vertical="center" wrapText="1"/>
    </xf>
    <xf numFmtId="0" fontId="8" fillId="18" borderId="7" xfId="0" applyFont="1" applyFill="1" applyBorder="1" applyAlignment="1">
      <alignment vertical="center"/>
    </xf>
    <xf numFmtId="3" fontId="12" fillId="19" borderId="8" xfId="0" applyNumberFormat="1" applyFont="1" applyFill="1" applyBorder="1" applyAlignment="1">
      <alignment horizontal="right" vertical="center"/>
    </xf>
    <xf numFmtId="3" fontId="12" fillId="19" borderId="8" xfId="0" applyNumberFormat="1" applyFont="1" applyFill="1" applyBorder="1" applyAlignment="1">
      <alignment horizontal="right" vertical="center" wrapText="1"/>
    </xf>
    <xf numFmtId="0" fontId="12" fillId="19" borderId="8" xfId="0" applyFont="1" applyFill="1" applyBorder="1" applyAlignment="1">
      <alignment vertical="center"/>
    </xf>
    <xf numFmtId="3" fontId="12" fillId="8" borderId="8" xfId="0" applyNumberFormat="1" applyFont="1" applyFill="1" applyBorder="1" applyAlignment="1">
      <alignment horizontal="right" vertical="center"/>
    </xf>
    <xf numFmtId="3" fontId="12" fillId="8" borderId="8" xfId="0" applyNumberFormat="1" applyFont="1" applyFill="1" applyBorder="1" applyAlignment="1">
      <alignment horizontal="right" vertical="center" wrapText="1"/>
    </xf>
    <xf numFmtId="164" fontId="12" fillId="0" borderId="8" xfId="1" applyBorder="1"/>
    <xf numFmtId="0" fontId="8" fillId="18" borderId="0" xfId="0" applyFont="1" applyFill="1" applyBorder="1" applyAlignment="1">
      <alignment vertical="center"/>
    </xf>
    <xf numFmtId="167" fontId="0" fillId="0" borderId="0" xfId="0" applyNumberFormat="1"/>
    <xf numFmtId="164" fontId="12" fillId="8" borderId="8" xfId="1" applyFill="1" applyBorder="1"/>
    <xf numFmtId="3" fontId="12" fillId="8" borderId="8" xfId="0" applyNumberFormat="1" applyFont="1" applyFill="1" applyBorder="1" applyAlignment="1">
      <alignment vertical="center"/>
    </xf>
    <xf numFmtId="0" fontId="0" fillId="20" borderId="0" xfId="0" applyFill="1"/>
    <xf numFmtId="0" fontId="12" fillId="20" borderId="0" xfId="0" applyFont="1" applyFill="1"/>
    <xf numFmtId="3" fontId="0" fillId="20" borderId="0" xfId="0" applyNumberFormat="1" applyFill="1"/>
    <xf numFmtId="164" fontId="12" fillId="20" borderId="0" xfId="1" applyFill="1"/>
    <xf numFmtId="3" fontId="12" fillId="20" borderId="0" xfId="0" applyNumberFormat="1" applyFont="1" applyFill="1"/>
    <xf numFmtId="166" fontId="0" fillId="0" borderId="0" xfId="0" quotePrefix="1" applyNumberFormat="1"/>
    <xf numFmtId="166" fontId="0" fillId="0" borderId="0" xfId="0" applyNumberFormat="1"/>
    <xf numFmtId="167" fontId="12" fillId="0" borderId="0" xfId="1" quotePrefix="1" applyNumberFormat="1"/>
    <xf numFmtId="0" fontId="27" fillId="8" borderId="0" xfId="9" applyFill="1"/>
    <xf numFmtId="0" fontId="1" fillId="0" borderId="0" xfId="9" applyFont="1"/>
    <xf numFmtId="49" fontId="0" fillId="20" borderId="0" xfId="0" applyNumberFormat="1" applyFill="1"/>
    <xf numFmtId="2" fontId="0" fillId="0" borderId="0" xfId="0" applyNumberFormat="1"/>
    <xf numFmtId="164" fontId="12" fillId="8" borderId="0" xfId="1" applyFill="1"/>
    <xf numFmtId="0" fontId="0" fillId="21" borderId="0" xfId="0" applyFill="1"/>
    <xf numFmtId="0" fontId="12" fillId="22" borderId="0" xfId="0" applyFont="1" applyFill="1"/>
    <xf numFmtId="3" fontId="0" fillId="22" borderId="0" xfId="0" applyNumberFormat="1" applyFill="1"/>
    <xf numFmtId="165" fontId="0" fillId="22" borderId="0" xfId="0" applyNumberFormat="1" applyFill="1"/>
    <xf numFmtId="0" fontId="0" fillId="23" borderId="0" xfId="0" applyFill="1"/>
    <xf numFmtId="164" fontId="12" fillId="23" borderId="0" xfId="1" applyFill="1"/>
    <xf numFmtId="165" fontId="0" fillId="23" borderId="0" xfId="0" applyNumberFormat="1" applyFill="1"/>
    <xf numFmtId="0" fontId="26" fillId="12" borderId="3" xfId="8" applyFont="1" applyFill="1" applyBorder="1" applyAlignment="1">
      <alignment horizontal="left" vertical="center"/>
    </xf>
    <xf numFmtId="167" fontId="0" fillId="23" borderId="0" xfId="0" applyNumberFormat="1" applyFill="1"/>
  </cellXfs>
  <cellStyles count="11">
    <cellStyle name="Komma 2" xfId="6"/>
    <cellStyle name="Link 2" xfId="7"/>
    <cellStyle name="Prozent" xfId="1" builtinId="5"/>
    <cellStyle name="Prozent 2" xfId="5"/>
    <cellStyle name="Standard" xfId="0" builtinId="0"/>
    <cellStyle name="Standard 2" xfId="2"/>
    <cellStyle name="Standard 3" xfId="3"/>
    <cellStyle name="Standard 4" xfId="4"/>
    <cellStyle name="Standard 5" xfId="8"/>
    <cellStyle name="Standard 6" xfId="9"/>
    <cellStyle name="Standard 7" xfId="1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78787"/>
      <rgbColor rgb="FF9999FF"/>
      <rgbColor rgb="FFBE4B48"/>
      <rgbColor rgb="FFFFFFD7"/>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7D1D5"/>
      <rgbColor rgb="FF95B3D7"/>
      <rgbColor rgb="FFFFA6A6"/>
      <rgbColor rgb="FFCC99FF"/>
      <rgbColor rgb="FFFFDBB6"/>
      <rgbColor rgb="FF4A7EBB"/>
      <rgbColor rgb="FF46AAC4"/>
      <rgbColor rgb="FF98B855"/>
      <rgbColor rgb="FFFFC000"/>
      <rgbColor rgb="FFFF8000"/>
      <rgbColor rgb="FFFF6600"/>
      <rgbColor rgb="FF7D5FA0"/>
      <rgbColor rgb="FF969696"/>
      <rgbColor rgb="FF003366"/>
      <rgbColor rgb="FF4F81BD"/>
      <rgbColor rgb="FF003300"/>
      <rgbColor rgb="FF333300"/>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Booking!$V$13</c:f>
              <c:strCache>
                <c:ptCount val="1"/>
                <c:pt idx="0">
                  <c:v>Global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val>
          <c:smooth val="0"/>
        </c:ser>
        <c:ser>
          <c:idx val="1"/>
          <c:order val="1"/>
          <c:tx>
            <c:strRef>
              <c:f>Booking!$X$13</c:f>
              <c:strCache>
                <c:ptCount val="1"/>
                <c:pt idx="0">
                  <c:v>Umsatz</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Booking!$X$14:$X$32</c:f>
              <c:numCache>
                <c:formatCode>General</c:formatCode>
                <c:ptCount val="19"/>
                <c:pt idx="0">
                  <c:v>914372</c:v>
                </c:pt>
                <c:pt idx="1">
                  <c:v>962660</c:v>
                </c:pt>
                <c:pt idx="2">
                  <c:v>1123103</c:v>
                </c:pt>
                <c:pt idx="3">
                  <c:v>1409409</c:v>
                </c:pt>
                <c:pt idx="4">
                  <c:v>1884806</c:v>
                </c:pt>
                <c:pt idx="5">
                  <c:v>2338212</c:v>
                </c:pt>
                <c:pt idx="6">
                  <c:v>3084905</c:v>
                </c:pt>
                <c:pt idx="7">
                  <c:v>4355610</c:v>
                </c:pt>
                <c:pt idx="8">
                  <c:v>5260956</c:v>
                </c:pt>
                <c:pt idx="9">
                  <c:v>6793306</c:v>
                </c:pt>
                <c:pt idx="10">
                  <c:v>8441971</c:v>
                </c:pt>
                <c:pt idx="11">
                  <c:v>9223987</c:v>
                </c:pt>
                <c:pt idx="12">
                  <c:v>10743006</c:v>
                </c:pt>
                <c:pt idx="13">
                  <c:v>12681082</c:v>
                </c:pt>
                <c:pt idx="14">
                  <c:v>14527000</c:v>
                </c:pt>
                <c:pt idx="15">
                  <c:v>15066000</c:v>
                </c:pt>
                <c:pt idx="16">
                  <c:v>6796000</c:v>
                </c:pt>
                <c:pt idx="17">
                  <c:v>10958000</c:v>
                </c:pt>
                <c:pt idx="18">
                  <c:v>17090000</c:v>
                </c:pt>
              </c:numCache>
            </c:numRef>
          </c:val>
          <c:smooth val="0"/>
        </c:ser>
        <c:ser>
          <c:idx val="2"/>
          <c:order val="2"/>
          <c:tx>
            <c:strRef>
              <c:f>Booking!$Y$13</c:f>
              <c:strCache>
                <c:ptCount val="1"/>
                <c:pt idx="0">
                  <c:v>Gewinn nach Steuern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Booking!$Y$14:$Y$32</c:f>
              <c:numCache>
                <c:formatCode>General</c:formatCode>
                <c:ptCount val="19"/>
                <c:pt idx="0">
                  <c:v>32020</c:v>
                </c:pt>
                <c:pt idx="1">
                  <c:v>191980</c:v>
                </c:pt>
                <c:pt idx="2">
                  <c:v>78020</c:v>
                </c:pt>
                <c:pt idx="3">
                  <c:v>145398</c:v>
                </c:pt>
                <c:pt idx="4">
                  <c:v>185934</c:v>
                </c:pt>
                <c:pt idx="5">
                  <c:v>489470</c:v>
                </c:pt>
                <c:pt idx="6">
                  <c:v>528142</c:v>
                </c:pt>
                <c:pt idx="7">
                  <c:v>1059131</c:v>
                </c:pt>
                <c:pt idx="8">
                  <c:v>1424037</c:v>
                </c:pt>
                <c:pt idx="9">
                  <c:v>2256164</c:v>
                </c:pt>
                <c:pt idx="10">
                  <c:v>2421753</c:v>
                </c:pt>
                <c:pt idx="11">
                  <c:v>3070624</c:v>
                </c:pt>
                <c:pt idx="12">
                  <c:v>2134987</c:v>
                </c:pt>
                <c:pt idx="13">
                  <c:v>2340765</c:v>
                </c:pt>
                <c:pt idx="14">
                  <c:v>3998000</c:v>
                </c:pt>
                <c:pt idx="15">
                  <c:v>4865000</c:v>
                </c:pt>
                <c:pt idx="16">
                  <c:v>59000</c:v>
                </c:pt>
                <c:pt idx="17">
                  <c:v>1165000</c:v>
                </c:pt>
                <c:pt idx="18">
                  <c:v>3058000</c:v>
                </c:pt>
              </c:numCache>
            </c:numRef>
          </c:val>
          <c:smooth val="0"/>
        </c:ser>
        <c:dLbls>
          <c:showLegendKey val="0"/>
          <c:showVal val="0"/>
          <c:showCatName val="0"/>
          <c:showSerName val="0"/>
          <c:showPercent val="0"/>
          <c:showBubbleSize val="0"/>
        </c:dLbls>
        <c:marker val="1"/>
        <c:smooth val="0"/>
        <c:axId val="434642160"/>
        <c:axId val="434642552"/>
      </c:lineChart>
      <c:lineChart>
        <c:grouping val="standard"/>
        <c:varyColors val="0"/>
        <c:ser>
          <c:idx val="3"/>
          <c:order val="3"/>
          <c:tx>
            <c:strRef>
              <c:f>Booking!$Z$13</c:f>
              <c:strCache>
                <c:ptCount val="1"/>
                <c:pt idx="0">
                  <c:v>Anteil Niederlande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Booking!$Z$14:$Z$32</c:f>
              <c:numCache>
                <c:formatCode>0\ %</c:formatCode>
                <c:ptCount val="19"/>
                <c:pt idx="0">
                  <c:v>0</c:v>
                </c:pt>
                <c:pt idx="1">
                  <c:v>2.9274094695946648E-2</c:v>
                </c:pt>
                <c:pt idx="2">
                  <c:v>0.10516666770545534</c:v>
                </c:pt>
                <c:pt idx="3">
                  <c:v>0.17204090508858677</c:v>
                </c:pt>
                <c:pt idx="4">
                  <c:v>0.21552881304494997</c:v>
                </c:pt>
                <c:pt idx="5">
                  <c:v>0.23881923452621062</c:v>
                </c:pt>
                <c:pt idx="6">
                  <c:v>0.29712973333052395</c:v>
                </c:pt>
                <c:pt idx="7">
                  <c:v>0.37626210794814047</c:v>
                </c:pt>
                <c:pt idx="8">
                  <c:v>0.50864823807688186</c:v>
                </c:pt>
                <c:pt idx="9">
                  <c:v>0.60403476598875427</c:v>
                </c:pt>
                <c:pt idx="10">
                  <c:v>0.65378180048237555</c:v>
                </c:pt>
                <c:pt idx="11">
                  <c:v>0.67271517186656915</c:v>
                </c:pt>
                <c:pt idx="12">
                  <c:v>0.72447134442631789</c:v>
                </c:pt>
                <c:pt idx="13">
                  <c:v>0.75230173576671144</c:v>
                </c:pt>
                <c:pt idx="14">
                  <c:v>0.76368142080264334</c:v>
                </c:pt>
                <c:pt idx="15">
                  <c:v>0.77565378999070755</c:v>
                </c:pt>
                <c:pt idx="16">
                  <c:v>0.77457327839905832</c:v>
                </c:pt>
                <c:pt idx="17">
                  <c:v>0.79193283445884288</c:v>
                </c:pt>
                <c:pt idx="18">
                  <c:v>0.78572264482153309</c:v>
                </c:pt>
              </c:numCache>
            </c:numRef>
          </c:val>
          <c:smooth val="0"/>
        </c:ser>
        <c:dLbls>
          <c:showLegendKey val="0"/>
          <c:showVal val="0"/>
          <c:showCatName val="0"/>
          <c:showSerName val="0"/>
          <c:showPercent val="0"/>
          <c:showBubbleSize val="0"/>
        </c:dLbls>
        <c:marker val="1"/>
        <c:smooth val="0"/>
        <c:axId val="434646864"/>
        <c:axId val="434639808"/>
      </c:lineChart>
      <c:catAx>
        <c:axId val="43464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642552"/>
        <c:crosses val="autoZero"/>
        <c:auto val="1"/>
        <c:lblAlgn val="ctr"/>
        <c:lblOffset val="100"/>
        <c:noMultiLvlLbl val="0"/>
      </c:catAx>
      <c:valAx>
        <c:axId val="434642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64216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dispUnitsLbl>
        </c:dispUnits>
      </c:valAx>
      <c:valAx>
        <c:axId val="434639808"/>
        <c:scaling>
          <c:orientation val="minMax"/>
        </c:scaling>
        <c:delete val="0"/>
        <c:axPos val="r"/>
        <c:numFmt formatCode="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646864"/>
        <c:crosses val="max"/>
        <c:crossBetween val="between"/>
      </c:valAx>
      <c:catAx>
        <c:axId val="434646864"/>
        <c:scaling>
          <c:orientation val="minMax"/>
        </c:scaling>
        <c:delete val="1"/>
        <c:axPos val="b"/>
        <c:majorTickMark val="out"/>
        <c:minorTickMark val="none"/>
        <c:tickLblPos val="nextTo"/>
        <c:crossAx val="43463980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6" Type="http://schemas.openxmlformats.org/officeDocument/2006/relationships/image" Target="../media/image51.png"/><Relationship Id="rId117" Type="http://schemas.openxmlformats.org/officeDocument/2006/relationships/image" Target="../media/image142.png"/><Relationship Id="rId21" Type="http://schemas.openxmlformats.org/officeDocument/2006/relationships/image" Target="../media/image46.png"/><Relationship Id="rId42" Type="http://schemas.openxmlformats.org/officeDocument/2006/relationships/image" Target="../media/image67.png"/><Relationship Id="rId47" Type="http://schemas.openxmlformats.org/officeDocument/2006/relationships/image" Target="../media/image72.png"/><Relationship Id="rId63" Type="http://schemas.openxmlformats.org/officeDocument/2006/relationships/image" Target="../media/image88.png"/><Relationship Id="rId68" Type="http://schemas.openxmlformats.org/officeDocument/2006/relationships/image" Target="../media/image93.png"/><Relationship Id="rId84" Type="http://schemas.openxmlformats.org/officeDocument/2006/relationships/image" Target="../media/image109.png"/><Relationship Id="rId89" Type="http://schemas.openxmlformats.org/officeDocument/2006/relationships/image" Target="../media/image114.png"/><Relationship Id="rId112" Type="http://schemas.openxmlformats.org/officeDocument/2006/relationships/image" Target="../media/image137.png"/><Relationship Id="rId16" Type="http://schemas.openxmlformats.org/officeDocument/2006/relationships/image" Target="../media/image41.png"/><Relationship Id="rId107" Type="http://schemas.openxmlformats.org/officeDocument/2006/relationships/image" Target="../media/image132.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62.png"/><Relationship Id="rId40" Type="http://schemas.openxmlformats.org/officeDocument/2006/relationships/image" Target="../media/image65.png"/><Relationship Id="rId45" Type="http://schemas.openxmlformats.org/officeDocument/2006/relationships/image" Target="../media/image70.png"/><Relationship Id="rId53" Type="http://schemas.openxmlformats.org/officeDocument/2006/relationships/image" Target="../media/image78.png"/><Relationship Id="rId58" Type="http://schemas.openxmlformats.org/officeDocument/2006/relationships/image" Target="../media/image83.png"/><Relationship Id="rId66" Type="http://schemas.openxmlformats.org/officeDocument/2006/relationships/image" Target="../media/image91.png"/><Relationship Id="rId74" Type="http://schemas.openxmlformats.org/officeDocument/2006/relationships/image" Target="../media/image99.png"/><Relationship Id="rId79" Type="http://schemas.openxmlformats.org/officeDocument/2006/relationships/image" Target="../media/image104.png"/><Relationship Id="rId87" Type="http://schemas.openxmlformats.org/officeDocument/2006/relationships/image" Target="../media/image112.png"/><Relationship Id="rId102" Type="http://schemas.openxmlformats.org/officeDocument/2006/relationships/image" Target="../media/image127.png"/><Relationship Id="rId110" Type="http://schemas.openxmlformats.org/officeDocument/2006/relationships/image" Target="../media/image135.png"/><Relationship Id="rId115" Type="http://schemas.openxmlformats.org/officeDocument/2006/relationships/image" Target="../media/image140.png"/><Relationship Id="rId5" Type="http://schemas.openxmlformats.org/officeDocument/2006/relationships/image" Target="../media/image30.png"/><Relationship Id="rId61" Type="http://schemas.openxmlformats.org/officeDocument/2006/relationships/image" Target="../media/image86.png"/><Relationship Id="rId82" Type="http://schemas.openxmlformats.org/officeDocument/2006/relationships/image" Target="../media/image107.png"/><Relationship Id="rId90" Type="http://schemas.openxmlformats.org/officeDocument/2006/relationships/image" Target="../media/image115.png"/><Relationship Id="rId95" Type="http://schemas.openxmlformats.org/officeDocument/2006/relationships/image" Target="../media/image120.png"/><Relationship Id="rId19" Type="http://schemas.openxmlformats.org/officeDocument/2006/relationships/image" Target="../media/image4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60.png"/><Relationship Id="rId43" Type="http://schemas.openxmlformats.org/officeDocument/2006/relationships/image" Target="../media/image68.png"/><Relationship Id="rId48" Type="http://schemas.openxmlformats.org/officeDocument/2006/relationships/image" Target="../media/image73.png"/><Relationship Id="rId56" Type="http://schemas.openxmlformats.org/officeDocument/2006/relationships/image" Target="../media/image81.png"/><Relationship Id="rId64" Type="http://schemas.openxmlformats.org/officeDocument/2006/relationships/image" Target="../media/image89.png"/><Relationship Id="rId69" Type="http://schemas.openxmlformats.org/officeDocument/2006/relationships/image" Target="../media/image94.png"/><Relationship Id="rId77" Type="http://schemas.openxmlformats.org/officeDocument/2006/relationships/image" Target="../media/image102.png"/><Relationship Id="rId100" Type="http://schemas.openxmlformats.org/officeDocument/2006/relationships/image" Target="../media/image125.png"/><Relationship Id="rId105" Type="http://schemas.openxmlformats.org/officeDocument/2006/relationships/image" Target="../media/image130.png"/><Relationship Id="rId113" Type="http://schemas.openxmlformats.org/officeDocument/2006/relationships/image" Target="../media/image138.png"/><Relationship Id="rId118" Type="http://schemas.openxmlformats.org/officeDocument/2006/relationships/image" Target="../media/image143.png"/><Relationship Id="rId8" Type="http://schemas.openxmlformats.org/officeDocument/2006/relationships/image" Target="../media/image33.png"/><Relationship Id="rId51" Type="http://schemas.openxmlformats.org/officeDocument/2006/relationships/image" Target="../media/image76.png"/><Relationship Id="rId72" Type="http://schemas.openxmlformats.org/officeDocument/2006/relationships/image" Target="../media/image97.png"/><Relationship Id="rId80" Type="http://schemas.openxmlformats.org/officeDocument/2006/relationships/image" Target="../media/image105.png"/><Relationship Id="rId85" Type="http://schemas.openxmlformats.org/officeDocument/2006/relationships/image" Target="../media/image110.png"/><Relationship Id="rId93" Type="http://schemas.openxmlformats.org/officeDocument/2006/relationships/image" Target="../media/image118.png"/><Relationship Id="rId98" Type="http://schemas.openxmlformats.org/officeDocument/2006/relationships/image" Target="../media/image123.png"/><Relationship Id="rId3" Type="http://schemas.openxmlformats.org/officeDocument/2006/relationships/image" Target="../media/image28.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38" Type="http://schemas.openxmlformats.org/officeDocument/2006/relationships/image" Target="../media/image63.png"/><Relationship Id="rId46" Type="http://schemas.openxmlformats.org/officeDocument/2006/relationships/image" Target="../media/image71.png"/><Relationship Id="rId59" Type="http://schemas.openxmlformats.org/officeDocument/2006/relationships/image" Target="../media/image84.png"/><Relationship Id="rId67" Type="http://schemas.openxmlformats.org/officeDocument/2006/relationships/image" Target="../media/image92.png"/><Relationship Id="rId103" Type="http://schemas.openxmlformats.org/officeDocument/2006/relationships/image" Target="../media/image128.png"/><Relationship Id="rId108" Type="http://schemas.openxmlformats.org/officeDocument/2006/relationships/image" Target="../media/image133.png"/><Relationship Id="rId116" Type="http://schemas.openxmlformats.org/officeDocument/2006/relationships/image" Target="../media/image141.png"/><Relationship Id="rId20" Type="http://schemas.openxmlformats.org/officeDocument/2006/relationships/image" Target="../media/image45.png"/><Relationship Id="rId41" Type="http://schemas.openxmlformats.org/officeDocument/2006/relationships/image" Target="../media/image66.png"/><Relationship Id="rId54" Type="http://schemas.openxmlformats.org/officeDocument/2006/relationships/image" Target="../media/image79.png"/><Relationship Id="rId62" Type="http://schemas.openxmlformats.org/officeDocument/2006/relationships/image" Target="../media/image87.png"/><Relationship Id="rId70" Type="http://schemas.openxmlformats.org/officeDocument/2006/relationships/image" Target="../media/image95.png"/><Relationship Id="rId75" Type="http://schemas.openxmlformats.org/officeDocument/2006/relationships/image" Target="../media/image100.png"/><Relationship Id="rId83" Type="http://schemas.openxmlformats.org/officeDocument/2006/relationships/image" Target="../media/image108.png"/><Relationship Id="rId88" Type="http://schemas.openxmlformats.org/officeDocument/2006/relationships/image" Target="../media/image113.png"/><Relationship Id="rId91" Type="http://schemas.openxmlformats.org/officeDocument/2006/relationships/image" Target="../media/image116.png"/><Relationship Id="rId96" Type="http://schemas.openxmlformats.org/officeDocument/2006/relationships/image" Target="../media/image121.png"/><Relationship Id="rId111" Type="http://schemas.openxmlformats.org/officeDocument/2006/relationships/image" Target="../media/image136.png"/><Relationship Id="rId1" Type="http://schemas.openxmlformats.org/officeDocument/2006/relationships/image" Target="../media/image26.png"/><Relationship Id="rId6" Type="http://schemas.openxmlformats.org/officeDocument/2006/relationships/image" Target="../media/image31.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1.png"/><Relationship Id="rId49" Type="http://schemas.openxmlformats.org/officeDocument/2006/relationships/image" Target="../media/image74.png"/><Relationship Id="rId57" Type="http://schemas.openxmlformats.org/officeDocument/2006/relationships/image" Target="../media/image82.png"/><Relationship Id="rId106" Type="http://schemas.openxmlformats.org/officeDocument/2006/relationships/image" Target="../media/image131.png"/><Relationship Id="rId114" Type="http://schemas.openxmlformats.org/officeDocument/2006/relationships/image" Target="../media/image139.png"/><Relationship Id="rId10" Type="http://schemas.openxmlformats.org/officeDocument/2006/relationships/image" Target="../media/image35.png"/><Relationship Id="rId31" Type="http://schemas.openxmlformats.org/officeDocument/2006/relationships/image" Target="../media/image56.png"/><Relationship Id="rId44" Type="http://schemas.openxmlformats.org/officeDocument/2006/relationships/image" Target="../media/image69.png"/><Relationship Id="rId52" Type="http://schemas.openxmlformats.org/officeDocument/2006/relationships/image" Target="../media/image77.png"/><Relationship Id="rId60" Type="http://schemas.openxmlformats.org/officeDocument/2006/relationships/image" Target="../media/image85.png"/><Relationship Id="rId65" Type="http://schemas.openxmlformats.org/officeDocument/2006/relationships/image" Target="../media/image90.png"/><Relationship Id="rId73" Type="http://schemas.openxmlformats.org/officeDocument/2006/relationships/image" Target="../media/image98.png"/><Relationship Id="rId78" Type="http://schemas.openxmlformats.org/officeDocument/2006/relationships/image" Target="../media/image103.png"/><Relationship Id="rId81" Type="http://schemas.openxmlformats.org/officeDocument/2006/relationships/image" Target="../media/image106.png"/><Relationship Id="rId86" Type="http://schemas.openxmlformats.org/officeDocument/2006/relationships/image" Target="../media/image111.png"/><Relationship Id="rId94" Type="http://schemas.openxmlformats.org/officeDocument/2006/relationships/image" Target="../media/image119.png"/><Relationship Id="rId99" Type="http://schemas.openxmlformats.org/officeDocument/2006/relationships/image" Target="../media/image124.png"/><Relationship Id="rId101" Type="http://schemas.openxmlformats.org/officeDocument/2006/relationships/image" Target="../media/image126.png"/><Relationship Id="rId4" Type="http://schemas.openxmlformats.org/officeDocument/2006/relationships/image" Target="../media/image29.png"/><Relationship Id="rId9" Type="http://schemas.openxmlformats.org/officeDocument/2006/relationships/image" Target="../media/image34.png"/><Relationship Id="rId13" Type="http://schemas.openxmlformats.org/officeDocument/2006/relationships/image" Target="../media/image38.png"/><Relationship Id="rId18" Type="http://schemas.openxmlformats.org/officeDocument/2006/relationships/image" Target="../media/image43.png"/><Relationship Id="rId39" Type="http://schemas.openxmlformats.org/officeDocument/2006/relationships/image" Target="../media/image64.png"/><Relationship Id="rId109" Type="http://schemas.openxmlformats.org/officeDocument/2006/relationships/image" Target="../media/image134.png"/><Relationship Id="rId34" Type="http://schemas.openxmlformats.org/officeDocument/2006/relationships/image" Target="../media/image59.png"/><Relationship Id="rId50" Type="http://schemas.openxmlformats.org/officeDocument/2006/relationships/image" Target="../media/image75.png"/><Relationship Id="rId55" Type="http://schemas.openxmlformats.org/officeDocument/2006/relationships/image" Target="../media/image80.png"/><Relationship Id="rId76" Type="http://schemas.openxmlformats.org/officeDocument/2006/relationships/image" Target="../media/image101.png"/><Relationship Id="rId97" Type="http://schemas.openxmlformats.org/officeDocument/2006/relationships/image" Target="../media/image122.png"/><Relationship Id="rId104" Type="http://schemas.openxmlformats.org/officeDocument/2006/relationships/image" Target="../media/image129.png"/><Relationship Id="rId7" Type="http://schemas.openxmlformats.org/officeDocument/2006/relationships/image" Target="../media/image32.png"/><Relationship Id="rId71" Type="http://schemas.openxmlformats.org/officeDocument/2006/relationships/image" Target="../media/image96.png"/><Relationship Id="rId92" Type="http://schemas.openxmlformats.org/officeDocument/2006/relationships/image" Target="../media/image117.png"/><Relationship Id="rId2" Type="http://schemas.openxmlformats.org/officeDocument/2006/relationships/image" Target="../media/image27.png"/><Relationship Id="rId29"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14</xdr:col>
      <xdr:colOff>275</xdr:colOff>
      <xdr:row>8</xdr:row>
      <xdr:rowOff>114405</xdr:rowOff>
    </xdr:to>
    <xdr:pic>
      <xdr:nvPicPr>
        <xdr:cNvPr id="2" name="Grafik 1"/>
        <xdr:cNvPicPr>
          <a:picLocks noChangeAspect="1"/>
        </xdr:cNvPicPr>
      </xdr:nvPicPr>
      <xdr:blipFill>
        <a:blip xmlns:r="http://schemas.openxmlformats.org/officeDocument/2006/relationships" r:embed="rId1"/>
        <a:stretch>
          <a:fillRect/>
        </a:stretch>
      </xdr:blipFill>
      <xdr:spPr>
        <a:xfrm>
          <a:off x="9448800" y="365760"/>
          <a:ext cx="3170195" cy="1211685"/>
        </a:xfrm>
        <a:prstGeom prst="rect">
          <a:avLst/>
        </a:prstGeom>
      </xdr:spPr>
    </xdr:pic>
    <xdr:clientData/>
  </xdr:twoCellAnchor>
  <xdr:twoCellAnchor editAs="oneCell">
    <xdr:from>
      <xdr:col>10</xdr:col>
      <xdr:colOff>0</xdr:colOff>
      <xdr:row>10</xdr:row>
      <xdr:rowOff>0</xdr:rowOff>
    </xdr:from>
    <xdr:to>
      <xdr:col>17</xdr:col>
      <xdr:colOff>290066</xdr:colOff>
      <xdr:row>30</xdr:row>
      <xdr:rowOff>84144</xdr:rowOff>
    </xdr:to>
    <xdr:pic>
      <xdr:nvPicPr>
        <xdr:cNvPr id="3" name="Grafik 2"/>
        <xdr:cNvPicPr>
          <a:picLocks noChangeAspect="1"/>
        </xdr:cNvPicPr>
      </xdr:nvPicPr>
      <xdr:blipFill>
        <a:blip xmlns:r="http://schemas.openxmlformats.org/officeDocument/2006/relationships" r:embed="rId2"/>
        <a:stretch>
          <a:fillRect/>
        </a:stretch>
      </xdr:blipFill>
      <xdr:spPr>
        <a:xfrm>
          <a:off x="9448800" y="1828800"/>
          <a:ext cx="5837426" cy="3741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21</xdr:col>
      <xdr:colOff>457800</xdr:colOff>
      <xdr:row>18</xdr:row>
      <xdr:rowOff>183219</xdr:rowOff>
    </xdr:to>
    <xdr:pic>
      <xdr:nvPicPr>
        <xdr:cNvPr id="2" name="Grafik 1"/>
        <xdr:cNvPicPr>
          <a:picLocks noChangeAspect="1"/>
        </xdr:cNvPicPr>
      </xdr:nvPicPr>
      <xdr:blipFill>
        <a:blip xmlns:r="http://schemas.openxmlformats.org/officeDocument/2006/relationships" r:embed="rId1"/>
        <a:stretch>
          <a:fillRect/>
        </a:stretch>
      </xdr:blipFill>
      <xdr:spPr>
        <a:xfrm>
          <a:off x="14051280" y="0"/>
          <a:ext cx="6927180" cy="3917019"/>
        </a:xfrm>
        <a:prstGeom prst="rect">
          <a:avLst/>
        </a:prstGeom>
      </xdr:spPr>
    </xdr:pic>
    <xdr:clientData/>
  </xdr:twoCellAnchor>
  <xdr:twoCellAnchor editAs="oneCell">
    <xdr:from>
      <xdr:col>11</xdr:col>
      <xdr:colOff>0</xdr:colOff>
      <xdr:row>5</xdr:row>
      <xdr:rowOff>0</xdr:rowOff>
    </xdr:from>
    <xdr:to>
      <xdr:col>19</xdr:col>
      <xdr:colOff>556844</xdr:colOff>
      <xdr:row>16</xdr:row>
      <xdr:rowOff>160215</xdr:rowOff>
    </xdr:to>
    <xdr:pic>
      <xdr:nvPicPr>
        <xdr:cNvPr id="3" name="Grafik 2"/>
        <xdr:cNvPicPr>
          <a:picLocks noChangeAspect="1"/>
        </xdr:cNvPicPr>
      </xdr:nvPicPr>
      <xdr:blipFill>
        <a:blip xmlns:r="http://schemas.openxmlformats.org/officeDocument/2006/relationships" r:embed="rId2"/>
        <a:stretch>
          <a:fillRect/>
        </a:stretch>
      </xdr:blipFill>
      <xdr:spPr>
        <a:xfrm>
          <a:off x="13144500" y="1272540"/>
          <a:ext cx="6744284" cy="2255715"/>
        </a:xfrm>
        <a:prstGeom prst="rect">
          <a:avLst/>
        </a:prstGeom>
      </xdr:spPr>
    </xdr:pic>
    <xdr:clientData/>
  </xdr:twoCellAnchor>
  <xdr:twoCellAnchor editAs="oneCell">
    <xdr:from>
      <xdr:col>10</xdr:col>
      <xdr:colOff>0</xdr:colOff>
      <xdr:row>16</xdr:row>
      <xdr:rowOff>0</xdr:rowOff>
    </xdr:from>
    <xdr:to>
      <xdr:col>18</xdr:col>
      <xdr:colOff>252048</xdr:colOff>
      <xdr:row>40</xdr:row>
      <xdr:rowOff>99524</xdr:rowOff>
    </xdr:to>
    <xdr:pic>
      <xdr:nvPicPr>
        <xdr:cNvPr id="4" name="Grafik 3"/>
        <xdr:cNvPicPr>
          <a:picLocks noChangeAspect="1"/>
        </xdr:cNvPicPr>
      </xdr:nvPicPr>
      <xdr:blipFill>
        <a:blip xmlns:r="http://schemas.openxmlformats.org/officeDocument/2006/relationships" r:embed="rId3"/>
        <a:stretch>
          <a:fillRect/>
        </a:stretch>
      </xdr:blipFill>
      <xdr:spPr>
        <a:xfrm>
          <a:off x="12207240" y="3368040"/>
          <a:ext cx="6782388" cy="5349704"/>
        </a:xfrm>
        <a:prstGeom prst="rect">
          <a:avLst/>
        </a:prstGeom>
      </xdr:spPr>
    </xdr:pic>
    <xdr:clientData/>
  </xdr:twoCellAnchor>
  <xdr:twoCellAnchor editAs="oneCell">
    <xdr:from>
      <xdr:col>9</xdr:col>
      <xdr:colOff>0</xdr:colOff>
      <xdr:row>31</xdr:row>
      <xdr:rowOff>0</xdr:rowOff>
    </xdr:from>
    <xdr:to>
      <xdr:col>16</xdr:col>
      <xdr:colOff>122545</xdr:colOff>
      <xdr:row>44</xdr:row>
      <xdr:rowOff>68847</xdr:rowOff>
    </xdr:to>
    <xdr:pic>
      <xdr:nvPicPr>
        <xdr:cNvPr id="5" name="Grafik 4"/>
        <xdr:cNvPicPr>
          <a:picLocks noChangeAspect="1"/>
        </xdr:cNvPicPr>
      </xdr:nvPicPr>
      <xdr:blipFill>
        <a:blip xmlns:r="http://schemas.openxmlformats.org/officeDocument/2006/relationships" r:embed="rId4"/>
        <a:stretch>
          <a:fillRect/>
        </a:stretch>
      </xdr:blipFill>
      <xdr:spPr>
        <a:xfrm>
          <a:off x="10462260" y="6179820"/>
          <a:ext cx="7209145" cy="30787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365760</xdr:colOff>
      <xdr:row>0</xdr:row>
      <xdr:rowOff>0</xdr:rowOff>
    </xdr:from>
    <xdr:to>
      <xdr:col>31</xdr:col>
      <xdr:colOff>214016</xdr:colOff>
      <xdr:row>9</xdr:row>
      <xdr:rowOff>114470</xdr:rowOff>
    </xdr:to>
    <xdr:pic>
      <xdr:nvPicPr>
        <xdr:cNvPr id="2" name="Grafik 1"/>
        <xdr:cNvPicPr>
          <a:picLocks noChangeAspect="1"/>
        </xdr:cNvPicPr>
      </xdr:nvPicPr>
      <xdr:blipFill>
        <a:blip xmlns:r="http://schemas.openxmlformats.org/officeDocument/2006/relationships" r:embed="rId1"/>
        <a:stretch>
          <a:fillRect/>
        </a:stretch>
      </xdr:blipFill>
      <xdr:spPr>
        <a:xfrm>
          <a:off x="20444460" y="0"/>
          <a:ext cx="7574936" cy="1958510"/>
        </a:xfrm>
        <a:prstGeom prst="rect">
          <a:avLst/>
        </a:prstGeom>
      </xdr:spPr>
    </xdr:pic>
    <xdr:clientData/>
  </xdr:twoCellAnchor>
  <xdr:twoCellAnchor editAs="oneCell">
    <xdr:from>
      <xdr:col>19</xdr:col>
      <xdr:colOff>121920</xdr:colOff>
      <xdr:row>9</xdr:row>
      <xdr:rowOff>144780</xdr:rowOff>
    </xdr:from>
    <xdr:to>
      <xdr:col>31</xdr:col>
      <xdr:colOff>366399</xdr:colOff>
      <xdr:row>21</xdr:row>
      <xdr:rowOff>99254</xdr:rowOff>
    </xdr:to>
    <xdr:pic>
      <xdr:nvPicPr>
        <xdr:cNvPr id="3" name="Grafik 2"/>
        <xdr:cNvPicPr>
          <a:picLocks noChangeAspect="1"/>
        </xdr:cNvPicPr>
      </xdr:nvPicPr>
      <xdr:blipFill>
        <a:blip xmlns:r="http://schemas.openxmlformats.org/officeDocument/2006/relationships" r:embed="rId2"/>
        <a:stretch>
          <a:fillRect/>
        </a:stretch>
      </xdr:blipFill>
      <xdr:spPr>
        <a:xfrm>
          <a:off x="20794980" y="1988820"/>
          <a:ext cx="7376799" cy="2240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28</xdr:col>
      <xdr:colOff>503530</xdr:colOff>
      <xdr:row>18</xdr:row>
      <xdr:rowOff>91740</xdr:rowOff>
    </xdr:to>
    <xdr:pic>
      <xdr:nvPicPr>
        <xdr:cNvPr id="2" name="Grafik 1"/>
        <xdr:cNvPicPr>
          <a:picLocks noChangeAspect="1"/>
        </xdr:cNvPicPr>
      </xdr:nvPicPr>
      <xdr:blipFill>
        <a:blip xmlns:r="http://schemas.openxmlformats.org/officeDocument/2006/relationships" r:embed="rId1"/>
        <a:stretch>
          <a:fillRect/>
        </a:stretch>
      </xdr:blipFill>
      <xdr:spPr>
        <a:xfrm>
          <a:off x="17084040" y="0"/>
          <a:ext cx="7041490" cy="3467400"/>
        </a:xfrm>
        <a:prstGeom prst="rect">
          <a:avLst/>
        </a:prstGeom>
      </xdr:spPr>
    </xdr:pic>
    <xdr:clientData/>
  </xdr:twoCellAnchor>
  <xdr:twoCellAnchor editAs="oneCell">
    <xdr:from>
      <xdr:col>16</xdr:col>
      <xdr:colOff>0</xdr:colOff>
      <xdr:row>17</xdr:row>
      <xdr:rowOff>0</xdr:rowOff>
    </xdr:from>
    <xdr:to>
      <xdr:col>27</xdr:col>
      <xdr:colOff>465427</xdr:colOff>
      <xdr:row>27</xdr:row>
      <xdr:rowOff>312621</xdr:rowOff>
    </xdr:to>
    <xdr:pic>
      <xdr:nvPicPr>
        <xdr:cNvPr id="3" name="Grafik 2"/>
        <xdr:cNvPicPr>
          <a:picLocks noChangeAspect="1"/>
        </xdr:cNvPicPr>
      </xdr:nvPicPr>
      <xdr:blipFill>
        <a:blip xmlns:r="http://schemas.openxmlformats.org/officeDocument/2006/relationships" r:embed="rId2"/>
        <a:stretch>
          <a:fillRect/>
        </a:stretch>
      </xdr:blipFill>
      <xdr:spPr>
        <a:xfrm>
          <a:off x="16489680" y="3185160"/>
          <a:ext cx="7003387" cy="2324301"/>
        </a:xfrm>
        <a:prstGeom prst="rect">
          <a:avLst/>
        </a:prstGeom>
      </xdr:spPr>
    </xdr:pic>
    <xdr:clientData/>
  </xdr:twoCellAnchor>
  <xdr:twoCellAnchor editAs="oneCell">
    <xdr:from>
      <xdr:col>17</xdr:col>
      <xdr:colOff>7620</xdr:colOff>
      <xdr:row>29</xdr:row>
      <xdr:rowOff>266700</xdr:rowOff>
    </xdr:from>
    <xdr:to>
      <xdr:col>28</xdr:col>
      <xdr:colOff>549253</xdr:colOff>
      <xdr:row>58</xdr:row>
      <xdr:rowOff>30948</xdr:rowOff>
    </xdr:to>
    <xdr:pic>
      <xdr:nvPicPr>
        <xdr:cNvPr id="4" name="Grafik 3"/>
        <xdr:cNvPicPr>
          <a:picLocks noChangeAspect="1"/>
        </xdr:cNvPicPr>
      </xdr:nvPicPr>
      <xdr:blipFill>
        <a:blip xmlns:r="http://schemas.openxmlformats.org/officeDocument/2006/relationships" r:embed="rId3"/>
        <a:stretch>
          <a:fillRect/>
        </a:stretch>
      </xdr:blipFill>
      <xdr:spPr>
        <a:xfrm>
          <a:off x="18889980" y="6019800"/>
          <a:ext cx="7079593" cy="5403048"/>
        </a:xfrm>
        <a:prstGeom prst="rect">
          <a:avLst/>
        </a:prstGeom>
      </xdr:spPr>
    </xdr:pic>
    <xdr:clientData/>
  </xdr:twoCellAnchor>
  <xdr:twoCellAnchor editAs="oneCell">
    <xdr:from>
      <xdr:col>6</xdr:col>
      <xdr:colOff>0</xdr:colOff>
      <xdr:row>55</xdr:row>
      <xdr:rowOff>0</xdr:rowOff>
    </xdr:from>
    <xdr:to>
      <xdr:col>15</xdr:col>
      <xdr:colOff>99920</xdr:colOff>
      <xdr:row>75</xdr:row>
      <xdr:rowOff>167973</xdr:rowOff>
    </xdr:to>
    <xdr:pic>
      <xdr:nvPicPr>
        <xdr:cNvPr id="5" name="Grafik 4"/>
        <xdr:cNvPicPr>
          <a:picLocks noChangeAspect="1"/>
        </xdr:cNvPicPr>
      </xdr:nvPicPr>
      <xdr:blipFill>
        <a:blip xmlns:r="http://schemas.openxmlformats.org/officeDocument/2006/relationships" r:embed="rId4"/>
        <a:stretch>
          <a:fillRect/>
        </a:stretch>
      </xdr:blipFill>
      <xdr:spPr>
        <a:xfrm>
          <a:off x="7894320" y="10629900"/>
          <a:ext cx="9929720" cy="3848433"/>
        </a:xfrm>
        <a:prstGeom prst="rect">
          <a:avLst/>
        </a:prstGeom>
      </xdr:spPr>
    </xdr:pic>
    <xdr:clientData/>
  </xdr:twoCellAnchor>
  <xdr:twoCellAnchor editAs="oneCell">
    <xdr:from>
      <xdr:col>6</xdr:col>
      <xdr:colOff>0</xdr:colOff>
      <xdr:row>77</xdr:row>
      <xdr:rowOff>0</xdr:rowOff>
    </xdr:from>
    <xdr:to>
      <xdr:col>15</xdr:col>
      <xdr:colOff>92300</xdr:colOff>
      <xdr:row>91</xdr:row>
      <xdr:rowOff>45946</xdr:rowOff>
    </xdr:to>
    <xdr:pic>
      <xdr:nvPicPr>
        <xdr:cNvPr id="6" name="Grafik 5"/>
        <xdr:cNvPicPr>
          <a:picLocks noChangeAspect="1"/>
        </xdr:cNvPicPr>
      </xdr:nvPicPr>
      <xdr:blipFill>
        <a:blip xmlns:r="http://schemas.openxmlformats.org/officeDocument/2006/relationships" r:embed="rId5"/>
        <a:stretch>
          <a:fillRect/>
        </a:stretch>
      </xdr:blipFill>
      <xdr:spPr>
        <a:xfrm>
          <a:off x="7894320" y="14676120"/>
          <a:ext cx="9922100" cy="2606266"/>
        </a:xfrm>
        <a:prstGeom prst="rect">
          <a:avLst/>
        </a:prstGeom>
      </xdr:spPr>
    </xdr:pic>
    <xdr:clientData/>
  </xdr:twoCellAnchor>
  <xdr:twoCellAnchor editAs="oneCell">
    <xdr:from>
      <xdr:col>8</xdr:col>
      <xdr:colOff>0</xdr:colOff>
      <xdr:row>50</xdr:row>
      <xdr:rowOff>0</xdr:rowOff>
    </xdr:from>
    <xdr:to>
      <xdr:col>16</xdr:col>
      <xdr:colOff>488369</xdr:colOff>
      <xdr:row>60</xdr:row>
      <xdr:rowOff>38267</xdr:rowOff>
    </xdr:to>
    <xdr:pic>
      <xdr:nvPicPr>
        <xdr:cNvPr id="7" name="Grafik 6"/>
        <xdr:cNvPicPr>
          <a:picLocks noChangeAspect="1"/>
        </xdr:cNvPicPr>
      </xdr:nvPicPr>
      <xdr:blipFill>
        <a:blip xmlns:r="http://schemas.openxmlformats.org/officeDocument/2006/relationships" r:embed="rId6"/>
        <a:stretch>
          <a:fillRect/>
        </a:stretch>
      </xdr:blipFill>
      <xdr:spPr>
        <a:xfrm>
          <a:off x="10850880" y="9677400"/>
          <a:ext cx="7955969" cy="1928027"/>
        </a:xfrm>
        <a:prstGeom prst="rect">
          <a:avLst/>
        </a:prstGeom>
      </xdr:spPr>
    </xdr:pic>
    <xdr:clientData/>
  </xdr:twoCellAnchor>
  <xdr:twoCellAnchor editAs="oneCell">
    <xdr:from>
      <xdr:col>0</xdr:col>
      <xdr:colOff>0</xdr:colOff>
      <xdr:row>60</xdr:row>
      <xdr:rowOff>0</xdr:rowOff>
    </xdr:from>
    <xdr:to>
      <xdr:col>4</xdr:col>
      <xdr:colOff>907350</xdr:colOff>
      <xdr:row>71</xdr:row>
      <xdr:rowOff>137346</xdr:rowOff>
    </xdr:to>
    <xdr:pic>
      <xdr:nvPicPr>
        <xdr:cNvPr id="8" name="Grafik 7"/>
        <xdr:cNvPicPr>
          <a:picLocks noChangeAspect="1"/>
        </xdr:cNvPicPr>
      </xdr:nvPicPr>
      <xdr:blipFill>
        <a:blip xmlns:r="http://schemas.openxmlformats.org/officeDocument/2006/relationships" r:embed="rId7"/>
        <a:stretch>
          <a:fillRect/>
        </a:stretch>
      </xdr:blipFill>
      <xdr:spPr>
        <a:xfrm>
          <a:off x="0" y="11757660"/>
          <a:ext cx="6576630" cy="2149026"/>
        </a:xfrm>
        <a:prstGeom prst="rect">
          <a:avLst/>
        </a:prstGeom>
      </xdr:spPr>
    </xdr:pic>
    <xdr:clientData/>
  </xdr:twoCellAnchor>
  <xdr:twoCellAnchor editAs="oneCell">
    <xdr:from>
      <xdr:col>0</xdr:col>
      <xdr:colOff>0</xdr:colOff>
      <xdr:row>73</xdr:row>
      <xdr:rowOff>0</xdr:rowOff>
    </xdr:from>
    <xdr:to>
      <xdr:col>4</xdr:col>
      <xdr:colOff>1097866</xdr:colOff>
      <xdr:row>85</xdr:row>
      <xdr:rowOff>30673</xdr:rowOff>
    </xdr:to>
    <xdr:pic>
      <xdr:nvPicPr>
        <xdr:cNvPr id="9" name="Grafik 8"/>
        <xdr:cNvPicPr>
          <a:picLocks noChangeAspect="1"/>
        </xdr:cNvPicPr>
      </xdr:nvPicPr>
      <xdr:blipFill>
        <a:blip xmlns:r="http://schemas.openxmlformats.org/officeDocument/2006/relationships" r:embed="rId8"/>
        <a:stretch>
          <a:fillRect/>
        </a:stretch>
      </xdr:blipFill>
      <xdr:spPr>
        <a:xfrm>
          <a:off x="0" y="14135100"/>
          <a:ext cx="6767146" cy="2225233"/>
        </a:xfrm>
        <a:prstGeom prst="rect">
          <a:avLst/>
        </a:prstGeom>
      </xdr:spPr>
    </xdr:pic>
    <xdr:clientData/>
  </xdr:twoCellAnchor>
  <xdr:twoCellAnchor editAs="oneCell">
    <xdr:from>
      <xdr:col>0</xdr:col>
      <xdr:colOff>0</xdr:colOff>
      <xdr:row>121</xdr:row>
      <xdr:rowOff>0</xdr:rowOff>
    </xdr:from>
    <xdr:to>
      <xdr:col>4</xdr:col>
      <xdr:colOff>838764</xdr:colOff>
      <xdr:row>130</xdr:row>
      <xdr:rowOff>175418</xdr:rowOff>
    </xdr:to>
    <xdr:pic>
      <xdr:nvPicPr>
        <xdr:cNvPr id="10" name="Grafik 9"/>
        <xdr:cNvPicPr>
          <a:picLocks noChangeAspect="1"/>
        </xdr:cNvPicPr>
      </xdr:nvPicPr>
      <xdr:blipFill>
        <a:blip xmlns:r="http://schemas.openxmlformats.org/officeDocument/2006/relationships" r:embed="rId9"/>
        <a:stretch>
          <a:fillRect/>
        </a:stretch>
      </xdr:blipFill>
      <xdr:spPr>
        <a:xfrm>
          <a:off x="0" y="25229820"/>
          <a:ext cx="6508044" cy="1821338"/>
        </a:xfrm>
        <a:prstGeom prst="rect">
          <a:avLst/>
        </a:prstGeom>
      </xdr:spPr>
    </xdr:pic>
    <xdr:clientData/>
  </xdr:twoCellAnchor>
  <xdr:twoCellAnchor editAs="oneCell">
    <xdr:from>
      <xdr:col>5</xdr:col>
      <xdr:colOff>0</xdr:colOff>
      <xdr:row>121</xdr:row>
      <xdr:rowOff>0</xdr:rowOff>
    </xdr:from>
    <xdr:to>
      <xdr:col>11</xdr:col>
      <xdr:colOff>694018</xdr:colOff>
      <xdr:row>135</xdr:row>
      <xdr:rowOff>222</xdr:rowOff>
    </xdr:to>
    <xdr:pic>
      <xdr:nvPicPr>
        <xdr:cNvPr id="11" name="Grafik 10"/>
        <xdr:cNvPicPr>
          <a:picLocks noChangeAspect="1"/>
        </xdr:cNvPicPr>
      </xdr:nvPicPr>
      <xdr:blipFill>
        <a:blip xmlns:r="http://schemas.openxmlformats.org/officeDocument/2006/relationships" r:embed="rId10"/>
        <a:stretch>
          <a:fillRect/>
        </a:stretch>
      </xdr:blipFill>
      <xdr:spPr>
        <a:xfrm>
          <a:off x="6781800" y="25229820"/>
          <a:ext cx="6896698" cy="2560542"/>
        </a:xfrm>
        <a:prstGeom prst="rect">
          <a:avLst/>
        </a:prstGeom>
      </xdr:spPr>
    </xdr:pic>
    <xdr:clientData/>
  </xdr:twoCellAnchor>
  <xdr:twoCellAnchor editAs="oneCell">
    <xdr:from>
      <xdr:col>0</xdr:col>
      <xdr:colOff>68580</xdr:colOff>
      <xdr:row>141</xdr:row>
      <xdr:rowOff>152400</xdr:rowOff>
    </xdr:from>
    <xdr:to>
      <xdr:col>4</xdr:col>
      <xdr:colOff>1052137</xdr:colOff>
      <xdr:row>157</xdr:row>
      <xdr:rowOff>152654</xdr:rowOff>
    </xdr:to>
    <xdr:pic>
      <xdr:nvPicPr>
        <xdr:cNvPr id="12" name="Grafik 11"/>
        <xdr:cNvPicPr>
          <a:picLocks noChangeAspect="1"/>
        </xdr:cNvPicPr>
      </xdr:nvPicPr>
      <xdr:blipFill>
        <a:blip xmlns:r="http://schemas.openxmlformats.org/officeDocument/2006/relationships" r:embed="rId11"/>
        <a:stretch>
          <a:fillRect/>
        </a:stretch>
      </xdr:blipFill>
      <xdr:spPr>
        <a:xfrm>
          <a:off x="68580" y="29039820"/>
          <a:ext cx="6652837" cy="2926334"/>
        </a:xfrm>
        <a:prstGeom prst="rect">
          <a:avLst/>
        </a:prstGeom>
      </xdr:spPr>
    </xdr:pic>
    <xdr:clientData/>
  </xdr:twoCellAnchor>
  <xdr:twoCellAnchor editAs="oneCell">
    <xdr:from>
      <xdr:col>1</xdr:col>
      <xdr:colOff>1104900</xdr:colOff>
      <xdr:row>160</xdr:row>
      <xdr:rowOff>30480</xdr:rowOff>
    </xdr:from>
    <xdr:to>
      <xdr:col>9</xdr:col>
      <xdr:colOff>564639</xdr:colOff>
      <xdr:row>196</xdr:row>
      <xdr:rowOff>145360</xdr:rowOff>
    </xdr:to>
    <xdr:pic>
      <xdr:nvPicPr>
        <xdr:cNvPr id="13" name="Grafik 12"/>
        <xdr:cNvPicPr>
          <a:picLocks noChangeAspect="1"/>
        </xdr:cNvPicPr>
      </xdr:nvPicPr>
      <xdr:blipFill>
        <a:blip xmlns:r="http://schemas.openxmlformats.org/officeDocument/2006/relationships" r:embed="rId12"/>
        <a:stretch>
          <a:fillRect/>
        </a:stretch>
      </xdr:blipFill>
      <xdr:spPr>
        <a:xfrm>
          <a:off x="3436620" y="32392620"/>
          <a:ext cx="8763759" cy="6698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1167958</xdr:colOff>
      <xdr:row>32</xdr:row>
      <xdr:rowOff>141688</xdr:rowOff>
    </xdr:from>
    <xdr:to>
      <xdr:col>15</xdr:col>
      <xdr:colOff>409603</xdr:colOff>
      <xdr:row>37</xdr:row>
      <xdr:rowOff>60702</xdr:rowOff>
    </xdr:to>
    <xdr:pic>
      <xdr:nvPicPr>
        <xdr:cNvPr id="2" name="Grafik 1"/>
        <xdr:cNvPicPr>
          <a:picLocks noChangeAspect="1"/>
        </xdr:cNvPicPr>
      </xdr:nvPicPr>
      <xdr:blipFill>
        <a:blip xmlns:r="http://schemas.openxmlformats.org/officeDocument/2006/relationships" r:embed="rId1"/>
        <a:stretch>
          <a:fillRect/>
        </a:stretch>
      </xdr:blipFill>
      <xdr:spPr>
        <a:xfrm>
          <a:off x="10289871" y="6281862"/>
          <a:ext cx="10207819" cy="857710"/>
        </a:xfrm>
        <a:prstGeom prst="rect">
          <a:avLst/>
        </a:prstGeom>
      </xdr:spPr>
    </xdr:pic>
    <xdr:clientData/>
  </xdr:twoCellAnchor>
  <xdr:twoCellAnchor editAs="oneCell">
    <xdr:from>
      <xdr:col>7</xdr:col>
      <xdr:colOff>66261</xdr:colOff>
      <xdr:row>39</xdr:row>
      <xdr:rowOff>133052</xdr:rowOff>
    </xdr:from>
    <xdr:to>
      <xdr:col>13</xdr:col>
      <xdr:colOff>700381</xdr:colOff>
      <xdr:row>56</xdr:row>
      <xdr:rowOff>31635</xdr:rowOff>
    </xdr:to>
    <xdr:pic>
      <xdr:nvPicPr>
        <xdr:cNvPr id="3" name="Grafik 2"/>
        <xdr:cNvPicPr>
          <a:picLocks noChangeAspect="1"/>
        </xdr:cNvPicPr>
      </xdr:nvPicPr>
      <xdr:blipFill>
        <a:blip xmlns:r="http://schemas.openxmlformats.org/officeDocument/2006/relationships" r:embed="rId2"/>
        <a:stretch>
          <a:fillRect/>
        </a:stretch>
      </xdr:blipFill>
      <xdr:spPr>
        <a:xfrm>
          <a:off x="10447131" y="7587400"/>
          <a:ext cx="8121598" cy="3090148"/>
        </a:xfrm>
        <a:prstGeom prst="rect">
          <a:avLst/>
        </a:prstGeom>
      </xdr:spPr>
    </xdr:pic>
    <xdr:clientData/>
  </xdr:twoCellAnchor>
  <xdr:twoCellAnchor editAs="oneCell">
    <xdr:from>
      <xdr:col>10</xdr:col>
      <xdr:colOff>0</xdr:colOff>
      <xdr:row>0</xdr:row>
      <xdr:rowOff>0</xdr:rowOff>
    </xdr:from>
    <xdr:to>
      <xdr:col>15</xdr:col>
      <xdr:colOff>743557</xdr:colOff>
      <xdr:row>11</xdr:row>
      <xdr:rowOff>108027</xdr:rowOff>
    </xdr:to>
    <xdr:pic>
      <xdr:nvPicPr>
        <xdr:cNvPr id="6" name="Grafik 5"/>
        <xdr:cNvPicPr>
          <a:picLocks noChangeAspect="1"/>
        </xdr:cNvPicPr>
      </xdr:nvPicPr>
      <xdr:blipFill>
        <a:blip xmlns:r="http://schemas.openxmlformats.org/officeDocument/2006/relationships" r:embed="rId3"/>
        <a:stretch>
          <a:fillRect/>
        </a:stretch>
      </xdr:blipFill>
      <xdr:spPr>
        <a:xfrm>
          <a:off x="12965043" y="0"/>
          <a:ext cx="6530340" cy="23056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24</xdr:col>
      <xdr:colOff>267290</xdr:colOff>
      <xdr:row>21</xdr:row>
      <xdr:rowOff>167994</xdr:rowOff>
    </xdr:to>
    <xdr:pic>
      <xdr:nvPicPr>
        <xdr:cNvPr id="2" name="Grafik 1"/>
        <xdr:cNvPicPr>
          <a:picLocks noChangeAspect="1"/>
        </xdr:cNvPicPr>
      </xdr:nvPicPr>
      <xdr:blipFill>
        <a:blip xmlns:r="http://schemas.openxmlformats.org/officeDocument/2006/relationships" r:embed="rId1"/>
        <a:stretch>
          <a:fillRect/>
        </a:stretch>
      </xdr:blipFill>
      <xdr:spPr>
        <a:xfrm>
          <a:off x="12915900" y="190500"/>
          <a:ext cx="6805250" cy="40846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1741140</xdr:colOff>
      <xdr:row>0</xdr:row>
      <xdr:rowOff>0</xdr:rowOff>
    </xdr:from>
    <xdr:to>
      <xdr:col>21</xdr:col>
      <xdr:colOff>92940</xdr:colOff>
      <xdr:row>18</xdr:row>
      <xdr:rowOff>52500</xdr:rowOff>
    </xdr:to>
    <xdr:pic>
      <xdr:nvPicPr>
        <xdr:cNvPr id="2" name="Grafik 1"/>
        <xdr:cNvPicPr/>
      </xdr:nvPicPr>
      <xdr:blipFill>
        <a:blip xmlns:r="http://schemas.openxmlformats.org/officeDocument/2006/relationships" r:embed="rId1"/>
        <a:stretch/>
      </xdr:blipFill>
      <xdr:spPr>
        <a:xfrm>
          <a:off x="12782520" y="0"/>
          <a:ext cx="8867400" cy="34815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167640</xdr:colOff>
      <xdr:row>38</xdr:row>
      <xdr:rowOff>38100</xdr:rowOff>
    </xdr:from>
    <xdr:to>
      <xdr:col>16</xdr:col>
      <xdr:colOff>777240</xdr:colOff>
      <xdr:row>53</xdr:row>
      <xdr:rowOff>38100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272</xdr:row>
      <xdr:rowOff>0</xdr:rowOff>
    </xdr:from>
    <xdr:to>
      <xdr:col>0</xdr:col>
      <xdr:colOff>220980</xdr:colOff>
      <xdr:row>272</xdr:row>
      <xdr:rowOff>114300</xdr:rowOff>
    </xdr:to>
    <xdr:pic>
      <xdr:nvPicPr>
        <xdr:cNvPr id="2" name="Grafik 1" descr="https://upload.wikimedia.org/wikipedia/commons/thumb/8/85/Flag_of_Belarus.svg/23px-Flag_of_Belarus.sv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16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0</xdr:rowOff>
    </xdr:from>
    <xdr:to>
      <xdr:col>0</xdr:col>
      <xdr:colOff>220980</xdr:colOff>
      <xdr:row>273</xdr:row>
      <xdr:rowOff>137160</xdr:rowOff>
    </xdr:to>
    <xdr:pic>
      <xdr:nvPicPr>
        <xdr:cNvPr id="3" name="Grafik 2" descr="https://upload.wikimedia.org/wikipedia/commons/thumb/9/9a/Flag_of_Bulgaria.svg/23px-Flag_of_Bulgaria.sv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945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274</xdr:row>
      <xdr:rowOff>0</xdr:rowOff>
    </xdr:from>
    <xdr:to>
      <xdr:col>0</xdr:col>
      <xdr:colOff>220980</xdr:colOff>
      <xdr:row>274</xdr:row>
      <xdr:rowOff>144780</xdr:rowOff>
    </xdr:to>
    <xdr:pic>
      <xdr:nvPicPr>
        <xdr:cNvPr id="4" name="Grafik 3" descr="https://upload.wikimedia.org/wikipedia/commons/thumb/c/cb/Flag_of_the_Czech_Republic.svg/23px-Flag_of_the_Czech_Republic.svg.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774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275</xdr:row>
      <xdr:rowOff>0</xdr:rowOff>
    </xdr:from>
    <xdr:to>
      <xdr:col>0</xdr:col>
      <xdr:colOff>220980</xdr:colOff>
      <xdr:row>275</xdr:row>
      <xdr:rowOff>144780</xdr:rowOff>
    </xdr:to>
    <xdr:pic>
      <xdr:nvPicPr>
        <xdr:cNvPr id="5" name="Grafik 4" descr="https://upload.wikimedia.org/wikipedia/commons/thumb/8/8f/Flag_of_Estonia.svg/23px-Flag_of_Estonia.svg.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03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276</xdr:row>
      <xdr:rowOff>0</xdr:rowOff>
    </xdr:from>
    <xdr:to>
      <xdr:col>0</xdr:col>
      <xdr:colOff>220980</xdr:colOff>
      <xdr:row>276</xdr:row>
      <xdr:rowOff>144780</xdr:rowOff>
    </xdr:to>
    <xdr:pic>
      <xdr:nvPicPr>
        <xdr:cNvPr id="6" name="Grafik 5" descr="https://upload.wikimedia.org/wikipedia/commons/thumb/0/0f/Flag_of_Georgia.svg/23px-Flag_of_Georgia.svg.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7432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xdr:row>
      <xdr:rowOff>0</xdr:rowOff>
    </xdr:from>
    <xdr:to>
      <xdr:col>0</xdr:col>
      <xdr:colOff>220980</xdr:colOff>
      <xdr:row>277</xdr:row>
      <xdr:rowOff>114300</xdr:rowOff>
    </xdr:to>
    <xdr:pic>
      <xdr:nvPicPr>
        <xdr:cNvPr id="7" name="Grafik 6" descr="https://upload.wikimedia.org/wikipedia/commons/thumb/c/c1/Flag_of_Hungary.svg/23px-Flag_of_Hungary.svg.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9260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xdr:row>
      <xdr:rowOff>0</xdr:rowOff>
    </xdr:from>
    <xdr:to>
      <xdr:col>0</xdr:col>
      <xdr:colOff>220980</xdr:colOff>
      <xdr:row>278</xdr:row>
      <xdr:rowOff>114300</xdr:rowOff>
    </xdr:to>
    <xdr:pic>
      <xdr:nvPicPr>
        <xdr:cNvPr id="8" name="Grafik 7" descr="https://upload.wikimedia.org/wikipedia/commons/thumb/8/84/Flag_of_Latvia.svg/23px-Flag_of_Latvia.svg.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089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xdr:row>
      <xdr:rowOff>0</xdr:rowOff>
    </xdr:from>
    <xdr:to>
      <xdr:col>0</xdr:col>
      <xdr:colOff>220980</xdr:colOff>
      <xdr:row>279</xdr:row>
      <xdr:rowOff>137160</xdr:rowOff>
    </xdr:to>
    <xdr:pic>
      <xdr:nvPicPr>
        <xdr:cNvPr id="9" name="Grafik 8" descr="https://upload.wikimedia.org/wikipedia/commons/thumb/1/11/Flag_of_Lithuania.svg/23px-Flag_of_Lithuania.svg.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2918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280</xdr:row>
      <xdr:rowOff>0</xdr:rowOff>
    </xdr:from>
    <xdr:to>
      <xdr:col>0</xdr:col>
      <xdr:colOff>220980</xdr:colOff>
      <xdr:row>280</xdr:row>
      <xdr:rowOff>114300</xdr:rowOff>
    </xdr:to>
    <xdr:pic>
      <xdr:nvPicPr>
        <xdr:cNvPr id="10" name="Grafik 9" descr="https://upload.wikimedia.org/wikipedia/commons/thumb/2/27/Flag_of_Moldova.svg/23px-Flag_of_Moldova.svg.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4747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xdr:row>
      <xdr:rowOff>0</xdr:rowOff>
    </xdr:from>
    <xdr:to>
      <xdr:col>0</xdr:col>
      <xdr:colOff>220980</xdr:colOff>
      <xdr:row>281</xdr:row>
      <xdr:rowOff>137160</xdr:rowOff>
    </xdr:to>
    <xdr:pic>
      <xdr:nvPicPr>
        <xdr:cNvPr id="11" name="Grafik 10" descr="https://upload.wikimedia.org/wikipedia/en/thumb/1/12/Flag_of_Poland.svg/23px-Flag_of_Poland.svg.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65760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0</xdr:rowOff>
    </xdr:from>
    <xdr:to>
      <xdr:col>0</xdr:col>
      <xdr:colOff>220980</xdr:colOff>
      <xdr:row>282</xdr:row>
      <xdr:rowOff>144780</xdr:rowOff>
    </xdr:to>
    <xdr:pic>
      <xdr:nvPicPr>
        <xdr:cNvPr id="12" name="Grafik 11" descr="https://upload.wikimedia.org/wikipedia/commons/thumb/7/73/Flag_of_Romania.svg/23px-Flag_of_Romania.svg.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8404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0</xdr:rowOff>
    </xdr:from>
    <xdr:to>
      <xdr:col>0</xdr:col>
      <xdr:colOff>220980</xdr:colOff>
      <xdr:row>283</xdr:row>
      <xdr:rowOff>144780</xdr:rowOff>
    </xdr:to>
    <xdr:pic>
      <xdr:nvPicPr>
        <xdr:cNvPr id="13" name="Grafik 12" descr="https://upload.wikimedia.org/wikipedia/en/thumb/f/f3/Flag_of_Russia.svg/23px-Flag_of_Russia.svg.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0233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xdr:row>
      <xdr:rowOff>0</xdr:rowOff>
    </xdr:from>
    <xdr:to>
      <xdr:col>0</xdr:col>
      <xdr:colOff>220980</xdr:colOff>
      <xdr:row>284</xdr:row>
      <xdr:rowOff>144780</xdr:rowOff>
    </xdr:to>
    <xdr:pic>
      <xdr:nvPicPr>
        <xdr:cNvPr id="14" name="Grafik 13" descr="https://upload.wikimedia.org/wikipedia/commons/thumb/e/e6/Flag_of_Slovakia.svg/23px-Flag_of_Slovakia.svg.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42062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285</xdr:row>
      <xdr:rowOff>0</xdr:rowOff>
    </xdr:from>
    <xdr:to>
      <xdr:col>0</xdr:col>
      <xdr:colOff>220980</xdr:colOff>
      <xdr:row>285</xdr:row>
      <xdr:rowOff>144780</xdr:rowOff>
    </xdr:to>
    <xdr:pic>
      <xdr:nvPicPr>
        <xdr:cNvPr id="15" name="Grafik 14" descr="https://upload.wikimedia.org/wikipedia/commons/thumb/4/49/Flag_of_Ukraine.svg/23px-Flag_of_Ukraine.svg.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3891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286</xdr:row>
      <xdr:rowOff>0</xdr:rowOff>
    </xdr:from>
    <xdr:to>
      <xdr:col>0</xdr:col>
      <xdr:colOff>220980</xdr:colOff>
      <xdr:row>286</xdr:row>
      <xdr:rowOff>114300</xdr:rowOff>
    </xdr:to>
    <xdr:pic>
      <xdr:nvPicPr>
        <xdr:cNvPr id="16" name="Grafik 15" descr="https://upload.wikimedia.org/wikipedia/commons/thumb/2/2f/Flag_of_Armenia.svg/23px-Flag_of_Armenia.svg.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5720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0</xdr:rowOff>
    </xdr:from>
    <xdr:to>
      <xdr:col>0</xdr:col>
      <xdr:colOff>220980</xdr:colOff>
      <xdr:row>287</xdr:row>
      <xdr:rowOff>114300</xdr:rowOff>
    </xdr:to>
    <xdr:pic>
      <xdr:nvPicPr>
        <xdr:cNvPr id="17" name="Grafik 16" descr="https://upload.wikimedia.org/wikipedia/commons/thumb/d/dd/Flag_of_Azerbaijan.svg/23px-Flag_of_Azerbaijan.svg.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7548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288</xdr:row>
      <xdr:rowOff>0</xdr:rowOff>
    </xdr:from>
    <xdr:to>
      <xdr:col>0</xdr:col>
      <xdr:colOff>220980</xdr:colOff>
      <xdr:row>288</xdr:row>
      <xdr:rowOff>114300</xdr:rowOff>
    </xdr:to>
    <xdr:pic>
      <xdr:nvPicPr>
        <xdr:cNvPr id="18" name="Grafik 17" descr="https://upload.wikimedia.org/wikipedia/commons/thumb/d/d3/Flag_of_Kazakhstan.svg/23px-Flag_of_Kazakhstan.svg.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49377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0</xdr:rowOff>
    </xdr:from>
    <xdr:to>
      <xdr:col>0</xdr:col>
      <xdr:colOff>220980</xdr:colOff>
      <xdr:row>289</xdr:row>
      <xdr:rowOff>137160</xdr:rowOff>
    </xdr:to>
    <xdr:pic>
      <xdr:nvPicPr>
        <xdr:cNvPr id="19" name="Grafik 18" descr="https://upload.wikimedia.org/wikipedia/commons/thumb/c/c7/Flag_of_Kyrgyzstan.svg/23px-Flag_of_Kyrgyzstan.svg.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51206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290</xdr:row>
      <xdr:rowOff>0</xdr:rowOff>
    </xdr:from>
    <xdr:to>
      <xdr:col>0</xdr:col>
      <xdr:colOff>220980</xdr:colOff>
      <xdr:row>290</xdr:row>
      <xdr:rowOff>114300</xdr:rowOff>
    </xdr:to>
    <xdr:pic>
      <xdr:nvPicPr>
        <xdr:cNvPr id="20" name="Grafik 19" descr="https://upload.wikimedia.org/wikipedia/commons/thumb/d/d0/Flag_of_Tajikistan.svg/23px-Flag_of_Tajikistan.svg.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53035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0</xdr:rowOff>
    </xdr:from>
    <xdr:to>
      <xdr:col>0</xdr:col>
      <xdr:colOff>220980</xdr:colOff>
      <xdr:row>291</xdr:row>
      <xdr:rowOff>144780</xdr:rowOff>
    </xdr:to>
    <xdr:pic>
      <xdr:nvPicPr>
        <xdr:cNvPr id="21" name="Grafik 20" descr="https://upload.wikimedia.org/wikipedia/commons/thumb/1/1b/Flag_of_Turkmenistan.svg/23px-Flag_of_Turkmenistan.svg.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54864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0</xdr:rowOff>
    </xdr:from>
    <xdr:to>
      <xdr:col>0</xdr:col>
      <xdr:colOff>220980</xdr:colOff>
      <xdr:row>292</xdr:row>
      <xdr:rowOff>114300</xdr:rowOff>
    </xdr:to>
    <xdr:pic>
      <xdr:nvPicPr>
        <xdr:cNvPr id="22" name="Grafik 21" descr="https://upload.wikimedia.org/wikipedia/commons/thumb/8/84/Flag_of_Uzbekistan.svg/23px-Flag_of_Uzbekistan.svg.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56692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293</xdr:row>
      <xdr:rowOff>0</xdr:rowOff>
    </xdr:from>
    <xdr:to>
      <xdr:col>0</xdr:col>
      <xdr:colOff>190500</xdr:colOff>
      <xdr:row>293</xdr:row>
      <xdr:rowOff>144780</xdr:rowOff>
    </xdr:to>
    <xdr:pic>
      <xdr:nvPicPr>
        <xdr:cNvPr id="23" name="Grafik 22" descr="https://upload.wikimedia.org/wikipedia/commons/thumb/9/9c/Flag_of_Denmark.svg/20px-Flag_of_Denmark.svg.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6042660"/>
          <a:ext cx="19050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294</xdr:row>
      <xdr:rowOff>0</xdr:rowOff>
    </xdr:from>
    <xdr:to>
      <xdr:col>0</xdr:col>
      <xdr:colOff>220980</xdr:colOff>
      <xdr:row>294</xdr:row>
      <xdr:rowOff>137160</xdr:rowOff>
    </xdr:to>
    <xdr:pic>
      <xdr:nvPicPr>
        <xdr:cNvPr id="24" name="Grafik 23" descr="https://upload.wikimedia.org/wikipedia/commons/thumb/b/bc/Flag_of_Finland.svg/23px-Flag_of_Finland.svg.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62255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0</xdr:rowOff>
    </xdr:from>
    <xdr:to>
      <xdr:col>0</xdr:col>
      <xdr:colOff>198120</xdr:colOff>
      <xdr:row>295</xdr:row>
      <xdr:rowOff>144780</xdr:rowOff>
    </xdr:to>
    <xdr:pic>
      <xdr:nvPicPr>
        <xdr:cNvPr id="25" name="Grafik 24" descr="https://upload.wikimedia.org/wikipedia/commons/thumb/c/ce/Flag_of_Iceland.svg/21px-Flag_of_Iceland.svg.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640842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296</xdr:row>
      <xdr:rowOff>0</xdr:rowOff>
    </xdr:from>
    <xdr:to>
      <xdr:col>0</xdr:col>
      <xdr:colOff>220980</xdr:colOff>
      <xdr:row>296</xdr:row>
      <xdr:rowOff>114300</xdr:rowOff>
    </xdr:to>
    <xdr:pic>
      <xdr:nvPicPr>
        <xdr:cNvPr id="26" name="Grafik 25" descr="https://upload.wikimedia.org/wikipedia/commons/thumb/4/45/Flag_of_Ireland.svg/23px-Flag_of_Ireland.svg.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65913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xdr:row>
      <xdr:rowOff>0</xdr:rowOff>
    </xdr:from>
    <xdr:to>
      <xdr:col>0</xdr:col>
      <xdr:colOff>198120</xdr:colOff>
      <xdr:row>297</xdr:row>
      <xdr:rowOff>144780</xdr:rowOff>
    </xdr:to>
    <xdr:pic>
      <xdr:nvPicPr>
        <xdr:cNvPr id="27" name="Grafik 26" descr="https://upload.wikimedia.org/wikipedia/commons/thumb/d/d9/Flag_of_Norway.svg/21px-Flag_of_Norway.svg.pn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677418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220980</xdr:colOff>
      <xdr:row>298</xdr:row>
      <xdr:rowOff>137160</xdr:rowOff>
    </xdr:to>
    <xdr:pic>
      <xdr:nvPicPr>
        <xdr:cNvPr id="28" name="Grafik 27" descr="https://upload.wikimedia.org/wikipedia/en/thumb/4/4c/Flag_of_Sweden.svg/23px-Flag_of_Sweden.svg.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69570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299</xdr:row>
      <xdr:rowOff>0</xdr:rowOff>
    </xdr:from>
    <xdr:to>
      <xdr:col>0</xdr:col>
      <xdr:colOff>220980</xdr:colOff>
      <xdr:row>299</xdr:row>
      <xdr:rowOff>114300</xdr:rowOff>
    </xdr:to>
    <xdr:pic>
      <xdr:nvPicPr>
        <xdr:cNvPr id="29" name="Grafik 28" descr="https://upload.wikimedia.org/wikipedia/en/thumb/a/ae/Flag_of_the_United_Kingdom.svg/23px-Flag_of_the_United_Kingdom.svg.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71399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300</xdr:row>
      <xdr:rowOff>0</xdr:rowOff>
    </xdr:from>
    <xdr:to>
      <xdr:col>0</xdr:col>
      <xdr:colOff>198120</xdr:colOff>
      <xdr:row>300</xdr:row>
      <xdr:rowOff>144780</xdr:rowOff>
    </xdr:to>
    <xdr:pic>
      <xdr:nvPicPr>
        <xdr:cNvPr id="30" name="Grafik 29" descr="https://upload.wikimedia.org/wikipedia/commons/thumb/3/36/Flag_of_Albania.svg/21px-Flag_of_Albania.svg.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751332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301</xdr:row>
      <xdr:rowOff>0</xdr:rowOff>
    </xdr:from>
    <xdr:to>
      <xdr:col>0</xdr:col>
      <xdr:colOff>220980</xdr:colOff>
      <xdr:row>301</xdr:row>
      <xdr:rowOff>114300</xdr:rowOff>
    </xdr:to>
    <xdr:pic>
      <xdr:nvPicPr>
        <xdr:cNvPr id="31" name="Grafik 30" descr="https://upload.wikimedia.org/wikipedia/commons/thumb/b/bf/Flag_of_Bosnia_and_Herzegovina.svg/23px-Flag_of_Bosnia_and_Herzegovina.svg.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76962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302</xdr:row>
      <xdr:rowOff>0</xdr:rowOff>
    </xdr:from>
    <xdr:to>
      <xdr:col>0</xdr:col>
      <xdr:colOff>220980</xdr:colOff>
      <xdr:row>302</xdr:row>
      <xdr:rowOff>114300</xdr:rowOff>
    </xdr:to>
    <xdr:pic>
      <xdr:nvPicPr>
        <xdr:cNvPr id="32" name="Grafik 31" descr="https://upload.wikimedia.org/wikipedia/commons/thumb/1/1b/Flag_of_Croatia.svg/23px-Flag_of_Croatia.svg.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78790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xdr:row>
      <xdr:rowOff>0</xdr:rowOff>
    </xdr:from>
    <xdr:to>
      <xdr:col>0</xdr:col>
      <xdr:colOff>220980</xdr:colOff>
      <xdr:row>303</xdr:row>
      <xdr:rowOff>144780</xdr:rowOff>
    </xdr:to>
    <xdr:pic>
      <xdr:nvPicPr>
        <xdr:cNvPr id="33" name="Grafik 32" descr="https://upload.wikimedia.org/wikipedia/commons/thumb/d/d4/Flag_of_Cyprus.svg/23px-Flag_of_Cyprus.svg.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80619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xdr:row>
      <xdr:rowOff>0</xdr:rowOff>
    </xdr:from>
    <xdr:to>
      <xdr:col>0</xdr:col>
      <xdr:colOff>220980</xdr:colOff>
      <xdr:row>304</xdr:row>
      <xdr:rowOff>144780</xdr:rowOff>
    </xdr:to>
    <xdr:pic>
      <xdr:nvPicPr>
        <xdr:cNvPr id="34" name="Grafik 33" descr="https://upload.wikimedia.org/wikipedia/en/thumb/c/c3/Flag_of_France.svg/23px-Flag_of_France.svg.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82448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xdr:row>
      <xdr:rowOff>0</xdr:rowOff>
    </xdr:from>
    <xdr:to>
      <xdr:col>0</xdr:col>
      <xdr:colOff>220980</xdr:colOff>
      <xdr:row>305</xdr:row>
      <xdr:rowOff>144780</xdr:rowOff>
    </xdr:to>
    <xdr:pic>
      <xdr:nvPicPr>
        <xdr:cNvPr id="35" name="Grafik 34" descr="https://upload.wikimedia.org/wikipedia/commons/thumb/5/5c/Flag_of_Greece.svg/23px-Flag_of_Greece.svg.pn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84277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xdr:row>
      <xdr:rowOff>0</xdr:rowOff>
    </xdr:from>
    <xdr:to>
      <xdr:col>0</xdr:col>
      <xdr:colOff>220980</xdr:colOff>
      <xdr:row>306</xdr:row>
      <xdr:rowOff>144780</xdr:rowOff>
    </xdr:to>
    <xdr:pic>
      <xdr:nvPicPr>
        <xdr:cNvPr id="36" name="Grafik 35" descr="https://upload.wikimedia.org/wikipedia/en/thumb/0/03/Flag_of_Italy.svg/23px-Flag_of_Italy.svg.pn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86106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0</xdr:rowOff>
    </xdr:from>
    <xdr:to>
      <xdr:col>0</xdr:col>
      <xdr:colOff>198120</xdr:colOff>
      <xdr:row>307</xdr:row>
      <xdr:rowOff>144780</xdr:rowOff>
    </xdr:to>
    <xdr:pic>
      <xdr:nvPicPr>
        <xdr:cNvPr id="37" name="Grafik 36" descr="https://upload.wikimedia.org/wikipedia/commons/thumb/1/1f/Flag_of_Kosovo.svg/21px-Flag_of_Kosovo.svg.pn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879348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xdr:row>
      <xdr:rowOff>0</xdr:rowOff>
    </xdr:from>
    <xdr:to>
      <xdr:col>0</xdr:col>
      <xdr:colOff>220980</xdr:colOff>
      <xdr:row>308</xdr:row>
      <xdr:rowOff>144780</xdr:rowOff>
    </xdr:to>
    <xdr:pic>
      <xdr:nvPicPr>
        <xdr:cNvPr id="38" name="Grafik 37" descr="https://upload.wikimedia.org/wikipedia/commons/thumb/7/73/Flag_of_Malta.svg/23px-Flag_of_Malta.svg.pn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89763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xdr:row>
      <xdr:rowOff>0</xdr:rowOff>
    </xdr:from>
    <xdr:to>
      <xdr:col>0</xdr:col>
      <xdr:colOff>220980</xdr:colOff>
      <xdr:row>309</xdr:row>
      <xdr:rowOff>114300</xdr:rowOff>
    </xdr:to>
    <xdr:pic>
      <xdr:nvPicPr>
        <xdr:cNvPr id="39" name="Grafik 38" descr="https://upload.wikimedia.org/wikipedia/commons/thumb/6/64/Flag_of_Montenegro.svg/23px-Flag_of_Montenegro.svg.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91592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0</xdr:rowOff>
    </xdr:from>
    <xdr:to>
      <xdr:col>0</xdr:col>
      <xdr:colOff>220980</xdr:colOff>
      <xdr:row>310</xdr:row>
      <xdr:rowOff>114300</xdr:rowOff>
    </xdr:to>
    <xdr:pic>
      <xdr:nvPicPr>
        <xdr:cNvPr id="40" name="Grafik 39" descr="https://upload.wikimedia.org/wikipedia/commons/thumb/7/79/Flag_of_North_Macedonia.svg/23px-Flag_of_North_Macedonia.svg.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93421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0</xdr:rowOff>
    </xdr:from>
    <xdr:to>
      <xdr:col>0</xdr:col>
      <xdr:colOff>220980</xdr:colOff>
      <xdr:row>311</xdr:row>
      <xdr:rowOff>144780</xdr:rowOff>
    </xdr:to>
    <xdr:pic>
      <xdr:nvPicPr>
        <xdr:cNvPr id="41" name="Grafik 40" descr="https://upload.wikimedia.org/wikipedia/commons/thumb/5/5c/Flag_of_Portugal.svg/23px-Flag_of_Portugal.svg.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95250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220980</xdr:colOff>
      <xdr:row>312</xdr:row>
      <xdr:rowOff>144780</xdr:rowOff>
    </xdr:to>
    <xdr:pic>
      <xdr:nvPicPr>
        <xdr:cNvPr id="42" name="Grafik 41" descr="https://upload.wikimedia.org/wikipedia/commons/thumb/f/ff/Flag_of_Serbia.svg/23px-Flag_of_Serbia.svg.pn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97078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xdr:row>
      <xdr:rowOff>0</xdr:rowOff>
    </xdr:from>
    <xdr:to>
      <xdr:col>0</xdr:col>
      <xdr:colOff>220980</xdr:colOff>
      <xdr:row>313</xdr:row>
      <xdr:rowOff>114300</xdr:rowOff>
    </xdr:to>
    <xdr:pic>
      <xdr:nvPicPr>
        <xdr:cNvPr id="43" name="Grafik 42" descr="https://upload.wikimedia.org/wikipedia/commons/thumb/f/f0/Flag_of_Slovenia.svg/23px-Flag_of_Slovenia.svg.png"/>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98907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0</xdr:rowOff>
    </xdr:from>
    <xdr:to>
      <xdr:col>0</xdr:col>
      <xdr:colOff>220980</xdr:colOff>
      <xdr:row>314</xdr:row>
      <xdr:rowOff>144780</xdr:rowOff>
    </xdr:to>
    <xdr:pic>
      <xdr:nvPicPr>
        <xdr:cNvPr id="44" name="Grafik 43" descr="https://upload.wikimedia.org/wikipedia/en/thumb/9/9a/Flag_of_Spain.svg/23px-Flag_of_Spain.svg.png"/>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100736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0</xdr:rowOff>
    </xdr:from>
    <xdr:to>
      <xdr:col>0</xdr:col>
      <xdr:colOff>220980</xdr:colOff>
      <xdr:row>315</xdr:row>
      <xdr:rowOff>144780</xdr:rowOff>
    </xdr:to>
    <xdr:pic>
      <xdr:nvPicPr>
        <xdr:cNvPr id="45" name="Grafik 44" descr="https://upload.wikimedia.org/wikipedia/commons/thumb/b/b4/Flag_of_Turkey.svg/23px-Flag_of_Turkey.svg.pn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02565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316</xdr:row>
      <xdr:rowOff>0</xdr:rowOff>
    </xdr:from>
    <xdr:to>
      <xdr:col>0</xdr:col>
      <xdr:colOff>220980</xdr:colOff>
      <xdr:row>316</xdr:row>
      <xdr:rowOff>144780</xdr:rowOff>
    </xdr:to>
    <xdr:pic>
      <xdr:nvPicPr>
        <xdr:cNvPr id="46" name="Grafik 45" descr="https://upload.wikimedia.org/wikipedia/commons/thumb/4/41/Flag_of_Austria.svg/23px-Flag_of_Austria.svg.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106299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0</xdr:rowOff>
    </xdr:from>
    <xdr:to>
      <xdr:col>0</xdr:col>
      <xdr:colOff>220980</xdr:colOff>
      <xdr:row>317</xdr:row>
      <xdr:rowOff>144780</xdr:rowOff>
    </xdr:to>
    <xdr:pic>
      <xdr:nvPicPr>
        <xdr:cNvPr id="47" name="Grafik 46" descr="https://upload.wikimedia.org/wikipedia/commons/thumb/9/92/Flag_of_Belgium_%28civil%29.svg/23px-Flag_of_Belgium_%28civil%29.svg.png"/>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108127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0</xdr:rowOff>
    </xdr:from>
    <xdr:to>
      <xdr:col>0</xdr:col>
      <xdr:colOff>220980</xdr:colOff>
      <xdr:row>318</xdr:row>
      <xdr:rowOff>137160</xdr:rowOff>
    </xdr:to>
    <xdr:pic>
      <xdr:nvPicPr>
        <xdr:cNvPr id="48" name="Grafik 47" descr="https://upload.wikimedia.org/wikipedia/en/thumb/b/ba/Flag_of_Germany.svg/23px-Flag_of_Germany.svg.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109956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xdr:row>
      <xdr:rowOff>0</xdr:rowOff>
    </xdr:from>
    <xdr:to>
      <xdr:col>0</xdr:col>
      <xdr:colOff>220980</xdr:colOff>
      <xdr:row>319</xdr:row>
      <xdr:rowOff>137160</xdr:rowOff>
    </xdr:to>
    <xdr:pic>
      <xdr:nvPicPr>
        <xdr:cNvPr id="49" name="Grafik 48" descr="https://upload.wikimedia.org/wikipedia/commons/thumb/d/da/Flag_of_Luxembourg.svg/23px-Flag_of_Luxembourg.svg.pn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111785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xdr:row>
      <xdr:rowOff>0</xdr:rowOff>
    </xdr:from>
    <xdr:to>
      <xdr:col>0</xdr:col>
      <xdr:colOff>220980</xdr:colOff>
      <xdr:row>320</xdr:row>
      <xdr:rowOff>144780</xdr:rowOff>
    </xdr:to>
    <xdr:pic>
      <xdr:nvPicPr>
        <xdr:cNvPr id="50" name="Grafik 49" descr="https://upload.wikimedia.org/wikipedia/commons/thumb/2/20/Flag_of_the_Netherlands.svg/23px-Flag_of_the_Netherlands.svg.pn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113614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xdr:row>
      <xdr:rowOff>0</xdr:rowOff>
    </xdr:from>
    <xdr:to>
      <xdr:col>0</xdr:col>
      <xdr:colOff>152400</xdr:colOff>
      <xdr:row>321</xdr:row>
      <xdr:rowOff>152400</xdr:rowOff>
    </xdr:to>
    <xdr:pic>
      <xdr:nvPicPr>
        <xdr:cNvPr id="51" name="Grafik 50" descr="https://upload.wikimedia.org/wikipedia/commons/thumb/0/08/Flag_of_Switzerland_%28Pantone%29.svg/16px-Flag_of_Switzerland_%28Pantone%29.svg.pn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1154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322</xdr:row>
      <xdr:rowOff>0</xdr:rowOff>
    </xdr:from>
    <xdr:to>
      <xdr:col>0</xdr:col>
      <xdr:colOff>220980</xdr:colOff>
      <xdr:row>322</xdr:row>
      <xdr:rowOff>144780</xdr:rowOff>
    </xdr:to>
    <xdr:pic>
      <xdr:nvPicPr>
        <xdr:cNvPr id="52" name="Grafik 51" descr="https://upload.wikimedia.org/wikipedia/commons/thumb/7/77/Flag_of_Algeria.svg/23px-Flag_of_Algeria.svg.pn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119405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xdr:row>
      <xdr:rowOff>0</xdr:rowOff>
    </xdr:from>
    <xdr:to>
      <xdr:col>0</xdr:col>
      <xdr:colOff>220980</xdr:colOff>
      <xdr:row>323</xdr:row>
      <xdr:rowOff>137160</xdr:rowOff>
    </xdr:to>
    <xdr:pic>
      <xdr:nvPicPr>
        <xdr:cNvPr id="53" name="Grafik 52" descr="https://upload.wikimedia.org/wikipedia/commons/thumb/2/2c/Flag_of_Bahrain.svg/23px-Flag_of_Bahrain.svg.pn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1212342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324</xdr:row>
      <xdr:rowOff>0</xdr:rowOff>
    </xdr:from>
    <xdr:to>
      <xdr:col>0</xdr:col>
      <xdr:colOff>220980</xdr:colOff>
      <xdr:row>324</xdr:row>
      <xdr:rowOff>144780</xdr:rowOff>
    </xdr:to>
    <xdr:pic>
      <xdr:nvPicPr>
        <xdr:cNvPr id="54" name="Grafik 53" descr="https://upload.wikimedia.org/wikipedia/commons/thumb/f/fe/Flag_of_Egypt.svg/23px-Flag_of_Egypt.svg.pn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123063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325</xdr:row>
      <xdr:rowOff>0</xdr:rowOff>
    </xdr:from>
    <xdr:to>
      <xdr:col>0</xdr:col>
      <xdr:colOff>220980</xdr:colOff>
      <xdr:row>325</xdr:row>
      <xdr:rowOff>121920</xdr:rowOff>
    </xdr:to>
    <xdr:pic>
      <xdr:nvPicPr>
        <xdr:cNvPr id="55" name="Grafik 54" descr="https://upload.wikimedia.org/wikipedia/commons/thumb/c/ca/Flag_of_Iran.svg/23px-Flag_of_Iran.svg.pn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12489180"/>
          <a:ext cx="220980" cy="12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0</xdr:rowOff>
    </xdr:from>
    <xdr:to>
      <xdr:col>0</xdr:col>
      <xdr:colOff>220980</xdr:colOff>
      <xdr:row>326</xdr:row>
      <xdr:rowOff>144780</xdr:rowOff>
    </xdr:to>
    <xdr:pic>
      <xdr:nvPicPr>
        <xdr:cNvPr id="56" name="Grafik 55" descr="https://upload.wikimedia.org/wikipedia/commons/thumb/f/f6/Flag_of_Iraq.svg/23px-Flag_of_Iraq.svg.pn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126720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327</xdr:row>
      <xdr:rowOff>0</xdr:rowOff>
    </xdr:from>
    <xdr:to>
      <xdr:col>0</xdr:col>
      <xdr:colOff>198120</xdr:colOff>
      <xdr:row>327</xdr:row>
      <xdr:rowOff>144780</xdr:rowOff>
    </xdr:to>
    <xdr:pic>
      <xdr:nvPicPr>
        <xdr:cNvPr id="57" name="Grafik 56" descr="https://upload.wikimedia.org/wikipedia/commons/thumb/d/d4/Flag_of_Israel.svg/21px-Flag_of_Israel.svg.pn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1285494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0</xdr:rowOff>
    </xdr:from>
    <xdr:to>
      <xdr:col>0</xdr:col>
      <xdr:colOff>220980</xdr:colOff>
      <xdr:row>328</xdr:row>
      <xdr:rowOff>114300</xdr:rowOff>
    </xdr:to>
    <xdr:pic>
      <xdr:nvPicPr>
        <xdr:cNvPr id="58" name="Grafik 57" descr="https://upload.wikimedia.org/wikipedia/commons/thumb/c/c0/Flag_of_Jordan.svg/23px-Flag_of_Jordan.svg.png"/>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130378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0</xdr:rowOff>
    </xdr:from>
    <xdr:to>
      <xdr:col>0</xdr:col>
      <xdr:colOff>220980</xdr:colOff>
      <xdr:row>329</xdr:row>
      <xdr:rowOff>114300</xdr:rowOff>
    </xdr:to>
    <xdr:pic>
      <xdr:nvPicPr>
        <xdr:cNvPr id="59" name="Grafik 58" descr="https://upload.wikimedia.org/wikipedia/commons/thumb/a/aa/Flag_of_Kuwait.svg/23px-Flag_of_Kuwait.svg.pn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132207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220980</xdr:colOff>
      <xdr:row>330</xdr:row>
      <xdr:rowOff>144780</xdr:rowOff>
    </xdr:to>
    <xdr:pic>
      <xdr:nvPicPr>
        <xdr:cNvPr id="60" name="Grafik 59" descr="https://upload.wikimedia.org/wikipedia/commons/thumb/5/59/Flag_of_Lebanon.svg/23px-Flag_of_Lebanon.svg.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134035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0</xdr:col>
      <xdr:colOff>220980</xdr:colOff>
      <xdr:row>331</xdr:row>
      <xdr:rowOff>114300</xdr:rowOff>
    </xdr:to>
    <xdr:pic>
      <xdr:nvPicPr>
        <xdr:cNvPr id="61" name="Grafik 60" descr="https://upload.wikimedia.org/wikipedia/commons/thumb/0/05/Flag_of_Libya.svg/23px-Flag_of_Libya.svg.png"/>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135864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0</xdr:rowOff>
    </xdr:from>
    <xdr:to>
      <xdr:col>0</xdr:col>
      <xdr:colOff>220980</xdr:colOff>
      <xdr:row>332</xdr:row>
      <xdr:rowOff>144780</xdr:rowOff>
    </xdr:to>
    <xdr:pic>
      <xdr:nvPicPr>
        <xdr:cNvPr id="62" name="Grafik 61" descr="https://upload.wikimedia.org/wikipedia/commons/thumb/2/2c/Flag_of_Morocco.svg/23px-Flag_of_Morocco.svg.pn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137693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0</xdr:rowOff>
    </xdr:from>
    <xdr:to>
      <xdr:col>0</xdr:col>
      <xdr:colOff>220980</xdr:colOff>
      <xdr:row>333</xdr:row>
      <xdr:rowOff>144780</xdr:rowOff>
    </xdr:to>
    <xdr:pic>
      <xdr:nvPicPr>
        <xdr:cNvPr id="63" name="Grafik 62" descr="https://upload.wikimedia.org/wikipedia/commons/thumb/4/43/Flag_of_Mauritania.svg/23px-Flag_of_Mauritania.svg.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139522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xdr:row>
      <xdr:rowOff>0</xdr:rowOff>
    </xdr:from>
    <xdr:to>
      <xdr:col>0</xdr:col>
      <xdr:colOff>220980</xdr:colOff>
      <xdr:row>334</xdr:row>
      <xdr:rowOff>114300</xdr:rowOff>
    </xdr:to>
    <xdr:pic>
      <xdr:nvPicPr>
        <xdr:cNvPr id="64" name="Grafik 63" descr="https://upload.wikimedia.org/wikipedia/commons/thumb/d/dd/Flag_of_Oman.svg/23px-Flag_of_Oman.svg.png"/>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141351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xdr:row>
      <xdr:rowOff>0</xdr:rowOff>
    </xdr:from>
    <xdr:to>
      <xdr:col>0</xdr:col>
      <xdr:colOff>220980</xdr:colOff>
      <xdr:row>335</xdr:row>
      <xdr:rowOff>114300</xdr:rowOff>
    </xdr:to>
    <xdr:pic>
      <xdr:nvPicPr>
        <xdr:cNvPr id="65" name="Grafik 64" descr="https://upload.wikimedia.org/wikipedia/commons/thumb/0/00/Flag_of_Palestine.svg/23px-Flag_of_Palestine.svg.pn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143179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xdr:row>
      <xdr:rowOff>0</xdr:rowOff>
    </xdr:from>
    <xdr:to>
      <xdr:col>0</xdr:col>
      <xdr:colOff>220980</xdr:colOff>
      <xdr:row>336</xdr:row>
      <xdr:rowOff>83820</xdr:rowOff>
    </xdr:to>
    <xdr:pic>
      <xdr:nvPicPr>
        <xdr:cNvPr id="66" name="Grafik 65" descr="https://upload.wikimedia.org/wikipedia/commons/thumb/6/65/Flag_of_Qatar.svg/23px-Flag_of_Qatar.svg.png"/>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14500860"/>
          <a:ext cx="220980" cy="8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337</xdr:row>
      <xdr:rowOff>0</xdr:rowOff>
    </xdr:from>
    <xdr:to>
      <xdr:col>0</xdr:col>
      <xdr:colOff>220980</xdr:colOff>
      <xdr:row>337</xdr:row>
      <xdr:rowOff>144780</xdr:rowOff>
    </xdr:to>
    <xdr:pic>
      <xdr:nvPicPr>
        <xdr:cNvPr id="67" name="Grafik 66" descr="https://upload.wikimedia.org/wikipedia/commons/thumb/0/0d/Flag_of_Saudi_Arabia.svg/23px-Flag_of_Saudi_Arabia.svg.pn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146837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xdr:row>
      <xdr:rowOff>0</xdr:rowOff>
    </xdr:from>
    <xdr:to>
      <xdr:col>0</xdr:col>
      <xdr:colOff>220980</xdr:colOff>
      <xdr:row>338</xdr:row>
      <xdr:rowOff>114300</xdr:rowOff>
    </xdr:to>
    <xdr:pic>
      <xdr:nvPicPr>
        <xdr:cNvPr id="68" name="Grafik 67" descr="https://upload.wikimedia.org/wikipedia/commons/thumb/0/01/Flag_of_Sudan.svg/23px-Flag_of_Sudan.svg.pn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148666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0</xdr:rowOff>
    </xdr:from>
    <xdr:to>
      <xdr:col>0</xdr:col>
      <xdr:colOff>220980</xdr:colOff>
      <xdr:row>339</xdr:row>
      <xdr:rowOff>144780</xdr:rowOff>
    </xdr:to>
    <xdr:pic>
      <xdr:nvPicPr>
        <xdr:cNvPr id="69" name="Grafik 68" descr="https://upload.wikimedia.org/wikipedia/commons/thumb/5/53/Flag_of_Syria.svg/23px-Flag_of_Syria.svg.png"/>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150495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xdr:row>
      <xdr:rowOff>0</xdr:rowOff>
    </xdr:from>
    <xdr:to>
      <xdr:col>0</xdr:col>
      <xdr:colOff>220980</xdr:colOff>
      <xdr:row>340</xdr:row>
      <xdr:rowOff>144780</xdr:rowOff>
    </xdr:to>
    <xdr:pic>
      <xdr:nvPicPr>
        <xdr:cNvPr id="70" name="Grafik 69" descr="https://upload.wikimedia.org/wikipedia/commons/thumb/c/ce/Flag_of_Tunisia.svg/23px-Flag_of_Tunisia.svg.png"/>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152323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0</xdr:rowOff>
    </xdr:from>
    <xdr:to>
      <xdr:col>0</xdr:col>
      <xdr:colOff>220980</xdr:colOff>
      <xdr:row>341</xdr:row>
      <xdr:rowOff>114300</xdr:rowOff>
    </xdr:to>
    <xdr:pic>
      <xdr:nvPicPr>
        <xdr:cNvPr id="71" name="Grafik 70" descr="https://upload.wikimedia.org/wikipedia/commons/thumb/c/cb/Flag_of_the_United_Arab_Emirates.svg/23px-Flag_of_the_United_Arab_Emirates.svg.png"/>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154152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0</xdr:rowOff>
    </xdr:from>
    <xdr:to>
      <xdr:col>0</xdr:col>
      <xdr:colOff>220980</xdr:colOff>
      <xdr:row>342</xdr:row>
      <xdr:rowOff>144780</xdr:rowOff>
    </xdr:to>
    <xdr:pic>
      <xdr:nvPicPr>
        <xdr:cNvPr id="72" name="Grafik 71" descr="https://upload.wikimedia.org/wikipedia/commons/thumb/8/89/Flag_of_Yemen.svg/23px-Flag_of_Yemen.svg.png"/>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155981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0</xdr:rowOff>
    </xdr:from>
    <xdr:to>
      <xdr:col>0</xdr:col>
      <xdr:colOff>220980</xdr:colOff>
      <xdr:row>343</xdr:row>
      <xdr:rowOff>137160</xdr:rowOff>
    </xdr:to>
    <xdr:pic>
      <xdr:nvPicPr>
        <xdr:cNvPr id="73" name="Grafik 72" descr="https://upload.wikimedia.org/wikipedia/commons/thumb/5/50/Flag_of_Burundi.svg/23px-Flag_of_Burundi.svg.png"/>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1618488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0</xdr:rowOff>
    </xdr:from>
    <xdr:to>
      <xdr:col>0</xdr:col>
      <xdr:colOff>220980</xdr:colOff>
      <xdr:row>344</xdr:row>
      <xdr:rowOff>144780</xdr:rowOff>
    </xdr:to>
    <xdr:pic>
      <xdr:nvPicPr>
        <xdr:cNvPr id="74" name="Grafik 73" descr="https://upload.wikimedia.org/wikipedia/commons/thumb/3/34/Flag_of_Djibouti.svg/23px-Flag_of_Djibouti.svg.pn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163677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xdr:row>
      <xdr:rowOff>0</xdr:rowOff>
    </xdr:from>
    <xdr:to>
      <xdr:col>0</xdr:col>
      <xdr:colOff>220980</xdr:colOff>
      <xdr:row>345</xdr:row>
      <xdr:rowOff>114300</xdr:rowOff>
    </xdr:to>
    <xdr:pic>
      <xdr:nvPicPr>
        <xdr:cNvPr id="75" name="Grafik 74" descr="https://upload.wikimedia.org/wikipedia/commons/thumb/2/29/Flag_of_Eritrea.svg/23px-Flag_of_Eritrea.svg.png"/>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165506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0</xdr:rowOff>
    </xdr:from>
    <xdr:to>
      <xdr:col>0</xdr:col>
      <xdr:colOff>220980</xdr:colOff>
      <xdr:row>346</xdr:row>
      <xdr:rowOff>114300</xdr:rowOff>
    </xdr:to>
    <xdr:pic>
      <xdr:nvPicPr>
        <xdr:cNvPr id="76" name="Grafik 75" descr="https://upload.wikimedia.org/wikipedia/commons/thumb/7/71/Flag_of_Ethiopia.svg/23px-Flag_of_Ethiopia.svg.png"/>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167335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0</xdr:rowOff>
    </xdr:from>
    <xdr:to>
      <xdr:col>0</xdr:col>
      <xdr:colOff>220980</xdr:colOff>
      <xdr:row>347</xdr:row>
      <xdr:rowOff>144780</xdr:rowOff>
    </xdr:to>
    <xdr:pic>
      <xdr:nvPicPr>
        <xdr:cNvPr id="77" name="Grafik 76" descr="https://upload.wikimedia.org/wikipedia/commons/thumb/4/49/Flag_of_Kenya.svg/23px-Flag_of_Kenya.svg.png"/>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169164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348</xdr:row>
      <xdr:rowOff>0</xdr:rowOff>
    </xdr:from>
    <xdr:to>
      <xdr:col>0</xdr:col>
      <xdr:colOff>220980</xdr:colOff>
      <xdr:row>348</xdr:row>
      <xdr:rowOff>144780</xdr:rowOff>
    </xdr:to>
    <xdr:pic>
      <xdr:nvPicPr>
        <xdr:cNvPr id="78" name="Grafik 77" descr="https://upload.wikimedia.org/wikipedia/commons/thumb/1/17/Flag_of_Rwanda.svg/23px-Flag_of_Rwanda.svg.pn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170992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349</xdr:row>
      <xdr:rowOff>0</xdr:rowOff>
    </xdr:from>
    <xdr:to>
      <xdr:col>0</xdr:col>
      <xdr:colOff>220980</xdr:colOff>
      <xdr:row>349</xdr:row>
      <xdr:rowOff>144780</xdr:rowOff>
    </xdr:to>
    <xdr:pic>
      <xdr:nvPicPr>
        <xdr:cNvPr id="79" name="Grafik 78" descr="https://upload.wikimedia.org/wikipedia/commons/thumb/a/a0/Flag_of_Somalia.svg/23px-Flag_of_Somalia.svg.pn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172821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350</xdr:row>
      <xdr:rowOff>0</xdr:rowOff>
    </xdr:from>
    <xdr:to>
      <xdr:col>0</xdr:col>
      <xdr:colOff>220980</xdr:colOff>
      <xdr:row>350</xdr:row>
      <xdr:rowOff>114300</xdr:rowOff>
    </xdr:to>
    <xdr:pic>
      <xdr:nvPicPr>
        <xdr:cNvPr id="80" name="Grafik 79" descr="https://upload.wikimedia.org/wikipedia/commons/thumb/7/7a/Flag_of_South_Sudan.svg/23px-Flag_of_South_Sudan.svg.png"/>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174650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351</xdr:row>
      <xdr:rowOff>0</xdr:rowOff>
    </xdr:from>
    <xdr:to>
      <xdr:col>0</xdr:col>
      <xdr:colOff>220980</xdr:colOff>
      <xdr:row>351</xdr:row>
      <xdr:rowOff>114300</xdr:rowOff>
    </xdr:to>
    <xdr:pic>
      <xdr:nvPicPr>
        <xdr:cNvPr id="81" name="Grafik 80" descr="https://upload.wikimedia.org/wikipedia/commons/thumb/0/01/Flag_of_Sudan.svg/23px-Flag_of_Sudan.svg.png"/>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176479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xdr:row>
      <xdr:rowOff>0</xdr:rowOff>
    </xdr:from>
    <xdr:to>
      <xdr:col>0</xdr:col>
      <xdr:colOff>220980</xdr:colOff>
      <xdr:row>352</xdr:row>
      <xdr:rowOff>144780</xdr:rowOff>
    </xdr:to>
    <xdr:pic>
      <xdr:nvPicPr>
        <xdr:cNvPr id="82" name="Grafik 81" descr="https://upload.wikimedia.org/wikipedia/commons/thumb/3/38/Flag_of_Tanzania.svg/23px-Flag_of_Tanzania.svg.png"/>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178308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353</xdr:row>
      <xdr:rowOff>0</xdr:rowOff>
    </xdr:from>
    <xdr:to>
      <xdr:col>0</xdr:col>
      <xdr:colOff>220980</xdr:colOff>
      <xdr:row>353</xdr:row>
      <xdr:rowOff>144780</xdr:rowOff>
    </xdr:to>
    <xdr:pic>
      <xdr:nvPicPr>
        <xdr:cNvPr id="83" name="Grafik 82" descr="https://upload.wikimedia.org/wikipedia/commons/thumb/4/4e/Flag_of_Uganda.svg/23px-Flag_of_Uganda.svg.png"/>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180136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xdr:row>
      <xdr:rowOff>0</xdr:rowOff>
    </xdr:from>
    <xdr:to>
      <xdr:col>0</xdr:col>
      <xdr:colOff>220980</xdr:colOff>
      <xdr:row>354</xdr:row>
      <xdr:rowOff>144780</xdr:rowOff>
    </xdr:to>
    <xdr:pic>
      <xdr:nvPicPr>
        <xdr:cNvPr id="84" name="Grafik 83" descr="https://upload.wikimedia.org/wikipedia/commons/thumb/4/4f/Flag_of_Cameroon.svg/23px-Flag_of_Cameroon.svg.png"/>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183870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xdr:row>
      <xdr:rowOff>0</xdr:rowOff>
    </xdr:from>
    <xdr:to>
      <xdr:col>0</xdr:col>
      <xdr:colOff>220980</xdr:colOff>
      <xdr:row>355</xdr:row>
      <xdr:rowOff>144780</xdr:rowOff>
    </xdr:to>
    <xdr:pic>
      <xdr:nvPicPr>
        <xdr:cNvPr id="85" name="Grafik 84" descr="https://upload.wikimedia.org/wikipedia/commons/thumb/6/6f/Flag_of_the_Central_African_Republic.svg/23px-Flag_of_the_Central_African_Republic.svg.pn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185699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356</xdr:row>
      <xdr:rowOff>0</xdr:rowOff>
    </xdr:from>
    <xdr:to>
      <xdr:col>0</xdr:col>
      <xdr:colOff>220980</xdr:colOff>
      <xdr:row>356</xdr:row>
      <xdr:rowOff>144780</xdr:rowOff>
    </xdr:to>
    <xdr:pic>
      <xdr:nvPicPr>
        <xdr:cNvPr id="86" name="Grafik 85" descr="https://upload.wikimedia.org/wikipedia/commons/thumb/4/4b/Flag_of_Chad.svg/23px-Flag_of_Chad.svg.png"/>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0" y="187528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357</xdr:row>
      <xdr:rowOff>0</xdr:rowOff>
    </xdr:from>
    <xdr:to>
      <xdr:col>0</xdr:col>
      <xdr:colOff>190500</xdr:colOff>
      <xdr:row>357</xdr:row>
      <xdr:rowOff>144780</xdr:rowOff>
    </xdr:to>
    <xdr:pic>
      <xdr:nvPicPr>
        <xdr:cNvPr id="87" name="Grafik 86" descr="https://upload.wikimedia.org/wikipedia/commons/thumb/6/6f/Flag_of_the_Democratic_Republic_of_the_Congo.svg/20px-Flag_of_the_Democratic_Republic_of_the_Congo.svg.png"/>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18935700"/>
          <a:ext cx="19050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358</xdr:row>
      <xdr:rowOff>0</xdr:rowOff>
    </xdr:from>
    <xdr:to>
      <xdr:col>0</xdr:col>
      <xdr:colOff>220980</xdr:colOff>
      <xdr:row>358</xdr:row>
      <xdr:rowOff>144780</xdr:rowOff>
    </xdr:to>
    <xdr:pic>
      <xdr:nvPicPr>
        <xdr:cNvPr id="88" name="Grafik 87" descr="https://upload.wikimedia.org/wikipedia/commons/thumb/9/92/Flag_of_the_Republic_of_the_Congo.svg/23px-Flag_of_the_Republic_of_the_Congo.svg.png"/>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191185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359</xdr:row>
      <xdr:rowOff>0</xdr:rowOff>
    </xdr:from>
    <xdr:to>
      <xdr:col>0</xdr:col>
      <xdr:colOff>220980</xdr:colOff>
      <xdr:row>359</xdr:row>
      <xdr:rowOff>144780</xdr:rowOff>
    </xdr:to>
    <xdr:pic>
      <xdr:nvPicPr>
        <xdr:cNvPr id="89" name="Grafik 88" descr="https://upload.wikimedia.org/wikipedia/commons/thumb/3/31/Flag_of_Equatorial_Guinea.svg/23px-Flag_of_Equatorial_Guinea.svg.png"/>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193014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360</xdr:row>
      <xdr:rowOff>0</xdr:rowOff>
    </xdr:from>
    <xdr:to>
      <xdr:col>0</xdr:col>
      <xdr:colOff>190500</xdr:colOff>
      <xdr:row>360</xdr:row>
      <xdr:rowOff>144780</xdr:rowOff>
    </xdr:to>
    <xdr:pic>
      <xdr:nvPicPr>
        <xdr:cNvPr id="90" name="Grafik 89" descr="https://upload.wikimedia.org/wikipedia/commons/thumb/0/04/Flag_of_Gabon.svg/20px-Flag_of_Gabon.svg.png"/>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19484340"/>
          <a:ext cx="19050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361</xdr:row>
      <xdr:rowOff>0</xdr:rowOff>
    </xdr:from>
    <xdr:to>
      <xdr:col>0</xdr:col>
      <xdr:colOff>220980</xdr:colOff>
      <xdr:row>361</xdr:row>
      <xdr:rowOff>114300</xdr:rowOff>
    </xdr:to>
    <xdr:pic>
      <xdr:nvPicPr>
        <xdr:cNvPr id="91" name="Grafik 90" descr="https://upload.wikimedia.org/wikipedia/commons/thumb/0/0a/Flag_of_S%C3%A3o_Tom%C3%A9_and_Pr%C3%ADncipe.svg/23px-Flag_of_S%C3%A3o_Tom%C3%A9_and_Pr%C3%ADncipe.svg.png"/>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196672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xdr:row>
      <xdr:rowOff>0</xdr:rowOff>
    </xdr:from>
    <xdr:to>
      <xdr:col>0</xdr:col>
      <xdr:colOff>220980</xdr:colOff>
      <xdr:row>362</xdr:row>
      <xdr:rowOff>144780</xdr:rowOff>
    </xdr:to>
    <xdr:pic>
      <xdr:nvPicPr>
        <xdr:cNvPr id="92" name="Grafik 91" descr="https://upload.wikimedia.org/wikipedia/commons/thumb/9/9d/Flag_of_Angola.svg/23px-Flag_of_Angola.svg.png"/>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0" y="200406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363</xdr:row>
      <xdr:rowOff>0</xdr:rowOff>
    </xdr:from>
    <xdr:to>
      <xdr:col>0</xdr:col>
      <xdr:colOff>220980</xdr:colOff>
      <xdr:row>363</xdr:row>
      <xdr:rowOff>144780</xdr:rowOff>
    </xdr:to>
    <xdr:pic>
      <xdr:nvPicPr>
        <xdr:cNvPr id="93" name="Grafik 92" descr="https://upload.wikimedia.org/wikipedia/commons/thumb/f/fa/Flag_of_Botswana.svg/23px-Flag_of_Botswana.svg.pn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0" y="202234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xdr:row>
      <xdr:rowOff>0</xdr:rowOff>
    </xdr:from>
    <xdr:to>
      <xdr:col>0</xdr:col>
      <xdr:colOff>220980</xdr:colOff>
      <xdr:row>364</xdr:row>
      <xdr:rowOff>137160</xdr:rowOff>
    </xdr:to>
    <xdr:pic>
      <xdr:nvPicPr>
        <xdr:cNvPr id="94" name="Grafik 93" descr="https://upload.wikimedia.org/wikipedia/commons/thumb/9/94/Flag_of_the_Comoros.svg/23px-Flag_of_the_Comoros.svg.png"/>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204063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365</xdr:row>
      <xdr:rowOff>0</xdr:rowOff>
    </xdr:from>
    <xdr:to>
      <xdr:col>0</xdr:col>
      <xdr:colOff>220980</xdr:colOff>
      <xdr:row>365</xdr:row>
      <xdr:rowOff>144780</xdr:rowOff>
    </xdr:to>
    <xdr:pic>
      <xdr:nvPicPr>
        <xdr:cNvPr id="95" name="Grafik 94" descr="https://upload.wikimedia.org/wikipedia/commons/thumb/f/fb/Flag_of_Eswatini.svg/23px-Flag_of_Eswatini.svg.pn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0" y="205892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366</xdr:row>
      <xdr:rowOff>0</xdr:rowOff>
    </xdr:from>
    <xdr:to>
      <xdr:col>0</xdr:col>
      <xdr:colOff>220980</xdr:colOff>
      <xdr:row>366</xdr:row>
      <xdr:rowOff>144780</xdr:rowOff>
    </xdr:to>
    <xdr:pic>
      <xdr:nvPicPr>
        <xdr:cNvPr id="96" name="Grafik 95" descr="https://upload.wikimedia.org/wikipedia/commons/thumb/4/4a/Flag_of_Lesotho.svg/23px-Flag_of_Lesotho.svg.png"/>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0" y="207721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367</xdr:row>
      <xdr:rowOff>0</xdr:rowOff>
    </xdr:from>
    <xdr:to>
      <xdr:col>0</xdr:col>
      <xdr:colOff>220980</xdr:colOff>
      <xdr:row>367</xdr:row>
      <xdr:rowOff>144780</xdr:rowOff>
    </xdr:to>
    <xdr:pic>
      <xdr:nvPicPr>
        <xdr:cNvPr id="97" name="Grafik 96" descr="https://upload.wikimedia.org/wikipedia/commons/thumb/b/bc/Flag_of_Madagascar.svg/23px-Flag_of_Madagascar.svg.png"/>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0" y="209550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368</xdr:row>
      <xdr:rowOff>0</xdr:rowOff>
    </xdr:from>
    <xdr:to>
      <xdr:col>0</xdr:col>
      <xdr:colOff>220980</xdr:colOff>
      <xdr:row>368</xdr:row>
      <xdr:rowOff>144780</xdr:rowOff>
    </xdr:to>
    <xdr:pic>
      <xdr:nvPicPr>
        <xdr:cNvPr id="98" name="Grafik 97" descr="https://upload.wikimedia.org/wikipedia/commons/thumb/d/d1/Flag_of_Malawi.svg/23px-Flag_of_Malawi.svg.png"/>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211378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xdr:row>
      <xdr:rowOff>0</xdr:rowOff>
    </xdr:from>
    <xdr:to>
      <xdr:col>0</xdr:col>
      <xdr:colOff>220980</xdr:colOff>
      <xdr:row>369</xdr:row>
      <xdr:rowOff>144780</xdr:rowOff>
    </xdr:to>
    <xdr:pic>
      <xdr:nvPicPr>
        <xdr:cNvPr id="99" name="Grafik 98" descr="https://upload.wikimedia.org/wikipedia/commons/thumb/7/77/Flag_of_Mauritius.svg/23px-Flag_of_Mauritius.svg.png"/>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213207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xdr:row>
      <xdr:rowOff>0</xdr:rowOff>
    </xdr:from>
    <xdr:to>
      <xdr:col>0</xdr:col>
      <xdr:colOff>220980</xdr:colOff>
      <xdr:row>370</xdr:row>
      <xdr:rowOff>144780</xdr:rowOff>
    </xdr:to>
    <xdr:pic>
      <xdr:nvPicPr>
        <xdr:cNvPr id="100" name="Grafik 99" descr="https://upload.wikimedia.org/wikipedia/commons/thumb/d/d0/Flag_of_Mozambique.svg/23px-Flag_of_Mozambique.svg.png"/>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0" y="215036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xdr:row>
      <xdr:rowOff>0</xdr:rowOff>
    </xdr:from>
    <xdr:to>
      <xdr:col>0</xdr:col>
      <xdr:colOff>220980</xdr:colOff>
      <xdr:row>371</xdr:row>
      <xdr:rowOff>144780</xdr:rowOff>
    </xdr:to>
    <xdr:pic>
      <xdr:nvPicPr>
        <xdr:cNvPr id="101" name="Grafik 100" descr="https://upload.wikimedia.org/wikipedia/commons/thumb/0/00/Flag_of_Namibia.svg/23px-Flag_of_Namibia.svg.png"/>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216865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372</xdr:row>
      <xdr:rowOff>0</xdr:rowOff>
    </xdr:from>
    <xdr:to>
      <xdr:col>0</xdr:col>
      <xdr:colOff>220980</xdr:colOff>
      <xdr:row>372</xdr:row>
      <xdr:rowOff>114300</xdr:rowOff>
    </xdr:to>
    <xdr:pic>
      <xdr:nvPicPr>
        <xdr:cNvPr id="102" name="Grafik 101" descr="https://upload.wikimedia.org/wikipedia/commons/thumb/f/fc/Flag_of_Seychelles.svg/23px-Flag_of_Seychelles.svg.png"/>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0" y="218694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0</xdr:rowOff>
    </xdr:from>
    <xdr:to>
      <xdr:col>0</xdr:col>
      <xdr:colOff>220980</xdr:colOff>
      <xdr:row>373</xdr:row>
      <xdr:rowOff>144780</xdr:rowOff>
    </xdr:to>
    <xdr:pic>
      <xdr:nvPicPr>
        <xdr:cNvPr id="103" name="Grafik 102" descr="https://upload.wikimedia.org/wikipedia/commons/thumb/a/af/Flag_of_South_Africa.svg/23px-Flag_of_South_Africa.svg.png"/>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0" y="220522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xdr:row>
      <xdr:rowOff>0</xdr:rowOff>
    </xdr:from>
    <xdr:to>
      <xdr:col>0</xdr:col>
      <xdr:colOff>220980</xdr:colOff>
      <xdr:row>374</xdr:row>
      <xdr:rowOff>144780</xdr:rowOff>
    </xdr:to>
    <xdr:pic>
      <xdr:nvPicPr>
        <xdr:cNvPr id="104" name="Grafik 103" descr="https://upload.wikimedia.org/wikipedia/commons/thumb/0/06/Flag_of_Zambia.svg/23px-Flag_of_Zambia.svg.png"/>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0" y="222351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xdr:row>
      <xdr:rowOff>0</xdr:rowOff>
    </xdr:from>
    <xdr:to>
      <xdr:col>0</xdr:col>
      <xdr:colOff>220980</xdr:colOff>
      <xdr:row>375</xdr:row>
      <xdr:rowOff>114300</xdr:rowOff>
    </xdr:to>
    <xdr:pic>
      <xdr:nvPicPr>
        <xdr:cNvPr id="105" name="Grafik 104" descr="https://upload.wikimedia.org/wikipedia/commons/thumb/6/6a/Flag_of_Zimbabwe.svg/23px-Flag_of_Zimbabwe.svg.pn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0" y="224180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xdr:row>
      <xdr:rowOff>0</xdr:rowOff>
    </xdr:from>
    <xdr:to>
      <xdr:col>0</xdr:col>
      <xdr:colOff>220980</xdr:colOff>
      <xdr:row>376</xdr:row>
      <xdr:rowOff>144780</xdr:rowOff>
    </xdr:to>
    <xdr:pic>
      <xdr:nvPicPr>
        <xdr:cNvPr id="106" name="Grafik 105" descr="https://upload.wikimedia.org/wikipedia/commons/thumb/0/0a/Flag_of_Benin.svg/23px-Flag_of_Benin.svg.png"/>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0" y="227914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0</xdr:rowOff>
    </xdr:from>
    <xdr:to>
      <xdr:col>0</xdr:col>
      <xdr:colOff>220980</xdr:colOff>
      <xdr:row>377</xdr:row>
      <xdr:rowOff>144780</xdr:rowOff>
    </xdr:to>
    <xdr:pic>
      <xdr:nvPicPr>
        <xdr:cNvPr id="107" name="Grafik 106" descr="https://upload.wikimedia.org/wikipedia/commons/thumb/3/31/Flag_of_Burkina_Faso.svg/23px-Flag_of_Burkina_Faso.svg.png"/>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0" y="229743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xdr:row>
      <xdr:rowOff>0</xdr:rowOff>
    </xdr:from>
    <xdr:to>
      <xdr:col>0</xdr:col>
      <xdr:colOff>220980</xdr:colOff>
      <xdr:row>378</xdr:row>
      <xdr:rowOff>137160</xdr:rowOff>
    </xdr:to>
    <xdr:pic>
      <xdr:nvPicPr>
        <xdr:cNvPr id="108" name="Grafik 107" descr="https://upload.wikimedia.org/wikipedia/commons/thumb/3/38/Flag_of_Cape_Verde.svg/23px-Flag_of_Cape_Verde.svg.png"/>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0" y="2315718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xdr:row>
      <xdr:rowOff>0</xdr:rowOff>
    </xdr:from>
    <xdr:to>
      <xdr:col>0</xdr:col>
      <xdr:colOff>220980</xdr:colOff>
      <xdr:row>379</xdr:row>
      <xdr:rowOff>144780</xdr:rowOff>
    </xdr:to>
    <xdr:pic>
      <xdr:nvPicPr>
        <xdr:cNvPr id="109" name="Grafik 108" descr="https://upload.wikimedia.org/wikipedia/commons/thumb/7/77/Flag_of_The_Gambia.svg/23px-Flag_of_The_Gambia.svg.png"/>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0" y="233400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0</xdr:rowOff>
    </xdr:from>
    <xdr:to>
      <xdr:col>0</xdr:col>
      <xdr:colOff>220980</xdr:colOff>
      <xdr:row>380</xdr:row>
      <xdr:rowOff>144780</xdr:rowOff>
    </xdr:to>
    <xdr:pic>
      <xdr:nvPicPr>
        <xdr:cNvPr id="110" name="Grafik 109" descr="https://upload.wikimedia.org/wikipedia/commons/thumb/1/19/Flag_of_Ghana.svg/23px-Flag_of_Ghana.svg.png"/>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0" y="235229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0</xdr:rowOff>
    </xdr:from>
    <xdr:to>
      <xdr:col>0</xdr:col>
      <xdr:colOff>220980</xdr:colOff>
      <xdr:row>381</xdr:row>
      <xdr:rowOff>144780</xdr:rowOff>
    </xdr:to>
    <xdr:pic>
      <xdr:nvPicPr>
        <xdr:cNvPr id="111" name="Grafik 110" descr="https://upload.wikimedia.org/wikipedia/commons/thumb/e/ed/Flag_of_Guinea.svg/23px-Flag_of_Guinea.svg.png"/>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0" y="237058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0</xdr:rowOff>
    </xdr:from>
    <xdr:to>
      <xdr:col>0</xdr:col>
      <xdr:colOff>220980</xdr:colOff>
      <xdr:row>382</xdr:row>
      <xdr:rowOff>114300</xdr:rowOff>
    </xdr:to>
    <xdr:pic>
      <xdr:nvPicPr>
        <xdr:cNvPr id="112" name="Grafik 111" descr="https://upload.wikimedia.org/wikipedia/commons/thumb/0/01/Flag_of_Guinea-Bissau.svg/23px-Flag_of_Guinea-Bissau.svg.png"/>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0" y="238887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0</xdr:rowOff>
    </xdr:from>
    <xdr:to>
      <xdr:col>0</xdr:col>
      <xdr:colOff>220980</xdr:colOff>
      <xdr:row>383</xdr:row>
      <xdr:rowOff>144780</xdr:rowOff>
    </xdr:to>
    <xdr:pic>
      <xdr:nvPicPr>
        <xdr:cNvPr id="113" name="Grafik 112" descr="https://upload.wikimedia.org/wikipedia/commons/thumb/f/fe/Flag_of_C%C3%B4te_d%27Ivoire.svg/23px-Flag_of_C%C3%B4te_d%27Ivoire.svg.png"/>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0" y="240715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xdr:row>
      <xdr:rowOff>0</xdr:rowOff>
    </xdr:from>
    <xdr:to>
      <xdr:col>0</xdr:col>
      <xdr:colOff>220980</xdr:colOff>
      <xdr:row>384</xdr:row>
      <xdr:rowOff>114300</xdr:rowOff>
    </xdr:to>
    <xdr:pic>
      <xdr:nvPicPr>
        <xdr:cNvPr id="114" name="Grafik 113" descr="https://upload.wikimedia.org/wikipedia/commons/thumb/b/b8/Flag_of_Liberia.svg/23px-Flag_of_Liberia.svg.png"/>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0" y="242544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385</xdr:row>
      <xdr:rowOff>0</xdr:rowOff>
    </xdr:from>
    <xdr:to>
      <xdr:col>0</xdr:col>
      <xdr:colOff>220980</xdr:colOff>
      <xdr:row>385</xdr:row>
      <xdr:rowOff>144780</xdr:rowOff>
    </xdr:to>
    <xdr:pic>
      <xdr:nvPicPr>
        <xdr:cNvPr id="115" name="Grafik 114" descr="https://upload.wikimedia.org/wikipedia/commons/thumb/9/92/Flag_of_Mali.svg/23px-Flag_of_Mali.svg.png"/>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0" y="244373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0</xdr:rowOff>
    </xdr:from>
    <xdr:to>
      <xdr:col>0</xdr:col>
      <xdr:colOff>220980</xdr:colOff>
      <xdr:row>386</xdr:row>
      <xdr:rowOff>144780</xdr:rowOff>
    </xdr:to>
    <xdr:pic>
      <xdr:nvPicPr>
        <xdr:cNvPr id="116" name="Grafik 115" descr="https://upload.wikimedia.org/wikipedia/commons/thumb/4/43/Flag_of_Mauritania.svg/23px-Flag_of_Mauritania.svg.png"/>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246202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0</xdr:rowOff>
    </xdr:from>
    <xdr:to>
      <xdr:col>0</xdr:col>
      <xdr:colOff>175260</xdr:colOff>
      <xdr:row>387</xdr:row>
      <xdr:rowOff>144780</xdr:rowOff>
    </xdr:to>
    <xdr:pic>
      <xdr:nvPicPr>
        <xdr:cNvPr id="117" name="Grafik 116" descr="https://upload.wikimedia.org/wikipedia/commons/thumb/f/f4/Flag_of_Niger.svg/18px-Flag_of_Niger.svg.png"/>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0" y="248031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xdr:row>
      <xdr:rowOff>0</xdr:rowOff>
    </xdr:from>
    <xdr:to>
      <xdr:col>0</xdr:col>
      <xdr:colOff>220980</xdr:colOff>
      <xdr:row>388</xdr:row>
      <xdr:rowOff>114300</xdr:rowOff>
    </xdr:to>
    <xdr:pic>
      <xdr:nvPicPr>
        <xdr:cNvPr id="118" name="Grafik 117" descr="https://upload.wikimedia.org/wikipedia/commons/thumb/7/79/Flag_of_Nigeria.svg/23px-Flag_of_Nigeria.svg.png"/>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0" y="249859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xdr:row>
      <xdr:rowOff>0</xdr:rowOff>
    </xdr:from>
    <xdr:to>
      <xdr:col>0</xdr:col>
      <xdr:colOff>220980</xdr:colOff>
      <xdr:row>389</xdr:row>
      <xdr:rowOff>114300</xdr:rowOff>
    </xdr:to>
    <xdr:pic>
      <xdr:nvPicPr>
        <xdr:cNvPr id="119" name="Grafik 118" descr="https://upload.wikimedia.org/wikipedia/en/thumb/a/ae/Flag_of_the_United_Kingdom.svg/23px-Flag_of_the_United_Kingdom.svg.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251688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xdr:row>
      <xdr:rowOff>0</xdr:rowOff>
    </xdr:from>
    <xdr:to>
      <xdr:col>0</xdr:col>
      <xdr:colOff>220980</xdr:colOff>
      <xdr:row>390</xdr:row>
      <xdr:rowOff>144780</xdr:rowOff>
    </xdr:to>
    <xdr:pic>
      <xdr:nvPicPr>
        <xdr:cNvPr id="120" name="Grafik 119" descr="https://upload.wikimedia.org/wikipedia/commons/thumb/f/fd/Flag_of_Senegal.svg/23px-Flag_of_Senegal.svg.png"/>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0" y="253517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391</xdr:row>
      <xdr:rowOff>0</xdr:rowOff>
    </xdr:from>
    <xdr:to>
      <xdr:col>0</xdr:col>
      <xdr:colOff>220980</xdr:colOff>
      <xdr:row>391</xdr:row>
      <xdr:rowOff>144780</xdr:rowOff>
    </xdr:to>
    <xdr:pic>
      <xdr:nvPicPr>
        <xdr:cNvPr id="121" name="Grafik 120" descr="https://upload.wikimedia.org/wikipedia/commons/thumb/1/17/Flag_of_Sierra_Leone.svg/23px-Flag_of_Sierra_Leone.svg.png"/>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0" y="255346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392</xdr:row>
      <xdr:rowOff>0</xdr:rowOff>
    </xdr:from>
    <xdr:to>
      <xdr:col>0</xdr:col>
      <xdr:colOff>220980</xdr:colOff>
      <xdr:row>392</xdr:row>
      <xdr:rowOff>137160</xdr:rowOff>
    </xdr:to>
    <xdr:pic>
      <xdr:nvPicPr>
        <xdr:cNvPr id="122" name="Grafik 121" descr="https://upload.wikimedia.org/wikipedia/commons/thumb/6/68/Flag_of_Togo.svg/23px-Flag_of_Togo.svg.png"/>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0" y="2571750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G1" sqref="G1"/>
    </sheetView>
  </sheetViews>
  <sheetFormatPr baseColWidth="10" defaultRowHeight="14.4"/>
  <sheetData>
    <row r="1" spans="1:6">
      <c r="B1" t="s">
        <v>72</v>
      </c>
      <c r="C1" t="s">
        <v>134</v>
      </c>
      <c r="D1" t="s">
        <v>78</v>
      </c>
      <c r="E1" t="s">
        <v>73</v>
      </c>
      <c r="F1" t="s">
        <v>106</v>
      </c>
    </row>
    <row r="2" spans="1:6">
      <c r="A2" t="s">
        <v>320</v>
      </c>
      <c r="B2" s="162" t="s">
        <v>321</v>
      </c>
      <c r="C2" t="s">
        <v>324</v>
      </c>
      <c r="D2" t="s">
        <v>324</v>
      </c>
      <c r="E2" t="s">
        <v>327</v>
      </c>
      <c r="F2" t="s">
        <v>324</v>
      </c>
    </row>
    <row r="3" spans="1:6">
      <c r="A3" t="s">
        <v>318</v>
      </c>
      <c r="B3" t="s">
        <v>322</v>
      </c>
      <c r="C3" t="s">
        <v>325</v>
      </c>
      <c r="D3" t="s">
        <v>325</v>
      </c>
      <c r="E3" t="s">
        <v>328</v>
      </c>
      <c r="F3" t="s">
        <v>325</v>
      </c>
    </row>
    <row r="4" spans="1:6">
      <c r="A4" t="s">
        <v>111</v>
      </c>
      <c r="B4" t="s">
        <v>319</v>
      </c>
      <c r="C4" t="s">
        <v>323</v>
      </c>
      <c r="D4" t="s">
        <v>326</v>
      </c>
      <c r="F4" t="s">
        <v>329</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3"/>
  <sheetViews>
    <sheetView zoomScaleNormal="100" workbookViewId="0">
      <selection activeCell="G27" sqref="G27:G31"/>
    </sheetView>
  </sheetViews>
  <sheetFormatPr baseColWidth="10" defaultColWidth="8.6640625" defaultRowHeight="14.4"/>
  <cols>
    <col min="1" max="1" width="34" style="67" customWidth="1"/>
    <col min="2" max="2" width="20.5546875" customWidth="1"/>
    <col min="3" max="6" width="20.44140625" customWidth="1"/>
    <col min="7" max="7" width="11" bestFit="1" customWidth="1"/>
    <col min="8" max="8" width="11" customWidth="1"/>
  </cols>
  <sheetData>
    <row r="1" spans="1:16" ht="15" customHeight="1">
      <c r="A1" s="2" t="s">
        <v>24</v>
      </c>
      <c r="B1" s="2" t="s">
        <v>0</v>
      </c>
      <c r="C1" s="2" t="s">
        <v>1</v>
      </c>
      <c r="D1" s="2" t="s">
        <v>2</v>
      </c>
      <c r="E1" s="2" t="s">
        <v>3</v>
      </c>
      <c r="F1" s="2" t="s">
        <v>4</v>
      </c>
      <c r="G1" s="2">
        <v>2021</v>
      </c>
      <c r="H1" s="2">
        <v>2022</v>
      </c>
      <c r="I1" s="2" t="s">
        <v>111</v>
      </c>
      <c r="K1" s="67"/>
      <c r="L1" s="2"/>
      <c r="M1" s="2"/>
      <c r="N1" s="2"/>
      <c r="O1" s="2"/>
      <c r="P1" s="2"/>
    </row>
    <row r="2" spans="1:16" ht="15" customHeight="1">
      <c r="A2" s="58" t="s">
        <v>5</v>
      </c>
      <c r="B2" s="4">
        <v>135987</v>
      </c>
      <c r="C2" s="4">
        <v>177866</v>
      </c>
      <c r="D2" s="4">
        <v>232887</v>
      </c>
      <c r="E2" s="4">
        <v>280522</v>
      </c>
      <c r="F2" s="4">
        <v>386064</v>
      </c>
      <c r="G2" s="4">
        <v>469822</v>
      </c>
      <c r="H2" s="4">
        <v>513983</v>
      </c>
      <c r="I2" s="4">
        <v>1</v>
      </c>
    </row>
    <row r="3" spans="1:16" ht="23.7" customHeight="1">
      <c r="A3" s="68" t="s">
        <v>10</v>
      </c>
      <c r="B3" s="4">
        <v>3892</v>
      </c>
      <c r="C3" s="4">
        <v>3806</v>
      </c>
      <c r="D3" s="4">
        <v>11261</v>
      </c>
      <c r="E3" s="4">
        <v>13976</v>
      </c>
      <c r="F3" s="4">
        <v>24178</v>
      </c>
      <c r="G3" s="4">
        <v>38151</v>
      </c>
      <c r="H3" s="4">
        <v>-5936</v>
      </c>
      <c r="I3" s="4">
        <v>1</v>
      </c>
    </row>
    <row r="4" spans="1:16" ht="15" customHeight="1">
      <c r="A4" s="68" t="s">
        <v>11</v>
      </c>
      <c r="B4" s="21">
        <v>4551</v>
      </c>
      <c r="C4" s="21">
        <v>5630</v>
      </c>
      <c r="D4" s="21">
        <v>11157</v>
      </c>
      <c r="E4" s="21">
        <v>13285</v>
      </c>
      <c r="F4" s="21">
        <v>20219</v>
      </c>
      <c r="G4" s="21">
        <v>35879</v>
      </c>
      <c r="H4" s="21">
        <v>-8225</v>
      </c>
      <c r="I4" s="60" t="s">
        <v>120</v>
      </c>
    </row>
    <row r="5" spans="1:16" ht="15" customHeight="1">
      <c r="A5" s="68" t="s">
        <v>12</v>
      </c>
      <c r="B5" s="21">
        <v>-659</v>
      </c>
      <c r="C5" s="21">
        <v>-1824</v>
      </c>
      <c r="D5" s="21">
        <v>104</v>
      </c>
      <c r="E5" s="21">
        <v>691</v>
      </c>
      <c r="F5" s="21">
        <v>3959</v>
      </c>
      <c r="G5" s="21">
        <v>2272</v>
      </c>
      <c r="H5" s="21">
        <v>2289</v>
      </c>
      <c r="I5" s="60" t="s">
        <v>120</v>
      </c>
    </row>
    <row r="6" spans="1:16" ht="15" customHeight="1">
      <c r="A6" s="68" t="s">
        <v>13</v>
      </c>
      <c r="B6" s="21">
        <v>1425</v>
      </c>
      <c r="C6" s="21">
        <v>769</v>
      </c>
      <c r="D6" s="21">
        <v>1197</v>
      </c>
      <c r="E6" s="21">
        <v>2374</v>
      </c>
      <c r="F6" s="21">
        <v>2863</v>
      </c>
      <c r="G6" s="21">
        <v>4791</v>
      </c>
      <c r="H6" s="21">
        <v>-3217</v>
      </c>
      <c r="I6" s="21">
        <v>1</v>
      </c>
    </row>
    <row r="7" spans="1:16" ht="15" customHeight="1">
      <c r="A7" s="68" t="s">
        <v>11</v>
      </c>
      <c r="B7" s="21">
        <f>B8+B9</f>
        <v>1429</v>
      </c>
      <c r="C7" s="21">
        <f>C8+C9</f>
        <v>-154</v>
      </c>
      <c r="D7" s="21">
        <v>763</v>
      </c>
      <c r="E7" s="21">
        <v>1360</v>
      </c>
      <c r="F7" s="21">
        <v>2120</v>
      </c>
      <c r="G7">
        <f>G8+G9</f>
        <v>2869</v>
      </c>
      <c r="H7" s="4">
        <f>H8+H9</f>
        <v>-4739</v>
      </c>
      <c r="I7" s="60" t="s">
        <v>120</v>
      </c>
    </row>
    <row r="8" spans="1:16" ht="15" customHeight="1">
      <c r="A8" s="68" t="s">
        <v>14</v>
      </c>
      <c r="B8" s="21">
        <v>1344</v>
      </c>
      <c r="C8" s="21">
        <v>74</v>
      </c>
      <c r="D8" s="21">
        <v>193</v>
      </c>
      <c r="E8" s="21">
        <v>438</v>
      </c>
      <c r="F8" s="21">
        <v>2461</v>
      </c>
      <c r="G8">
        <f>2129+763</f>
        <v>2892</v>
      </c>
      <c r="H8">
        <f>2175+1074</f>
        <v>3249</v>
      </c>
      <c r="I8" s="60" t="s">
        <v>120</v>
      </c>
    </row>
    <row r="9" spans="1:16" ht="15" customHeight="1">
      <c r="A9" s="68" t="s">
        <v>15</v>
      </c>
      <c r="B9" s="21">
        <v>85</v>
      </c>
      <c r="C9" s="21">
        <v>-228</v>
      </c>
      <c r="D9" s="21">
        <v>570</v>
      </c>
      <c r="E9" s="21">
        <v>922</v>
      </c>
      <c r="F9" s="21">
        <v>-341</v>
      </c>
      <c r="G9">
        <f>155-178</f>
        <v>-23</v>
      </c>
      <c r="H9">
        <f>-6686-1302</f>
        <v>-7988</v>
      </c>
      <c r="I9" s="60" t="s">
        <v>120</v>
      </c>
    </row>
    <row r="10" spans="1:16" ht="15" customHeight="1">
      <c r="A10" s="68" t="s">
        <v>12</v>
      </c>
      <c r="B10" s="21">
        <f>B11+B12</f>
        <v>-4</v>
      </c>
      <c r="C10" s="21">
        <f>C11+C12</f>
        <v>923</v>
      </c>
      <c r="D10" s="21">
        <v>434</v>
      </c>
      <c r="E10" s="21">
        <v>1014</v>
      </c>
      <c r="F10" s="21">
        <v>743</v>
      </c>
      <c r="G10">
        <f>G11+G12</f>
        <v>1922</v>
      </c>
      <c r="H10" s="4">
        <f>H11+H12</f>
        <v>1522</v>
      </c>
      <c r="I10" s="60" t="s">
        <v>120</v>
      </c>
    </row>
    <row r="11" spans="1:16" ht="15" customHeight="1">
      <c r="A11" s="68" t="s">
        <v>14</v>
      </c>
      <c r="B11" s="4">
        <v>327</v>
      </c>
      <c r="C11" s="21">
        <v>724</v>
      </c>
      <c r="D11" s="21">
        <v>563</v>
      </c>
      <c r="E11" s="21">
        <v>1140</v>
      </c>
      <c r="F11" s="21">
        <v>956</v>
      </c>
      <c r="G11" s="21">
        <v>2209</v>
      </c>
      <c r="H11" s="21">
        <v>1682</v>
      </c>
      <c r="I11" s="60" t="s">
        <v>120</v>
      </c>
    </row>
    <row r="12" spans="1:16" ht="15" customHeight="1">
      <c r="A12" s="68" t="s">
        <v>15</v>
      </c>
      <c r="B12" s="21">
        <v>-331</v>
      </c>
      <c r="C12" s="21">
        <v>199</v>
      </c>
      <c r="D12" s="21">
        <v>-129</v>
      </c>
      <c r="E12" s="21">
        <v>-126</v>
      </c>
      <c r="F12" s="21">
        <v>-213</v>
      </c>
      <c r="G12" s="21">
        <v>-287</v>
      </c>
      <c r="H12" s="21">
        <v>-160</v>
      </c>
      <c r="I12" s="60" t="s">
        <v>120</v>
      </c>
    </row>
    <row r="13" spans="1:16" ht="15" customHeight="1">
      <c r="A13" s="68" t="s">
        <v>117</v>
      </c>
      <c r="B13" s="21"/>
      <c r="C13" s="21"/>
      <c r="D13" s="21"/>
      <c r="E13" s="21"/>
      <c r="F13" s="21">
        <v>1700</v>
      </c>
      <c r="G13" s="21">
        <v>3700</v>
      </c>
      <c r="H13" s="21">
        <v>6000</v>
      </c>
      <c r="I13" s="21" t="s">
        <v>120</v>
      </c>
    </row>
    <row r="14" spans="1:16" ht="15" customHeight="1">
      <c r="A14" s="68" t="s">
        <v>32</v>
      </c>
      <c r="B14" s="5">
        <v>341400</v>
      </c>
      <c r="C14" s="5">
        <v>566000</v>
      </c>
      <c r="D14" s="5">
        <v>647500</v>
      </c>
      <c r="E14" s="5">
        <v>798000</v>
      </c>
      <c r="F14" s="5">
        <v>1298000</v>
      </c>
      <c r="G14" s="5">
        <v>1608000</v>
      </c>
      <c r="H14" s="5">
        <v>1541000</v>
      </c>
      <c r="I14" s="60" t="s">
        <v>309</v>
      </c>
    </row>
    <row r="15" spans="1:16" ht="15" customHeight="1"/>
    <row r="16" spans="1:16" ht="15" customHeight="1"/>
    <row r="17" spans="1:9" ht="15" customHeight="1">
      <c r="A17" s="68" t="s">
        <v>308</v>
      </c>
      <c r="F17">
        <f>29565/F2</f>
        <v>7.6580566952629617E-2</v>
      </c>
      <c r="G17">
        <f>37326/G2</f>
        <v>7.9447109756460951E-2</v>
      </c>
      <c r="I17" s="60" t="s">
        <v>121</v>
      </c>
    </row>
    <row r="18" spans="1:9" ht="15" customHeight="1">
      <c r="A18" s="59" t="s">
        <v>122</v>
      </c>
    </row>
    <row r="19" spans="1:9" ht="15" customHeight="1">
      <c r="A19" s="58" t="s">
        <v>5</v>
      </c>
      <c r="I19" s="60" t="s">
        <v>150</v>
      </c>
    </row>
    <row r="20" spans="1:9" ht="15" customHeight="1">
      <c r="A20" s="58" t="s">
        <v>23</v>
      </c>
    </row>
    <row r="21" spans="1:9" ht="15" customHeight="1">
      <c r="A21" s="58" t="s">
        <v>13</v>
      </c>
    </row>
    <row r="22" spans="1:9" ht="15" customHeight="1">
      <c r="A22" s="58" t="s">
        <v>14</v>
      </c>
    </row>
    <row r="23" spans="1:9" ht="15" customHeight="1">
      <c r="A23" s="58" t="s">
        <v>15</v>
      </c>
    </row>
    <row r="24" spans="1:9" ht="15" customHeight="1">
      <c r="A24" s="58" t="s">
        <v>21</v>
      </c>
    </row>
    <row r="25" spans="1:9" ht="15" customHeight="1">
      <c r="A25" s="67" t="s">
        <v>22</v>
      </c>
    </row>
    <row r="26" spans="1:9" ht="15" customHeight="1">
      <c r="A26" s="59" t="s">
        <v>18</v>
      </c>
      <c r="I26" s="60"/>
    </row>
    <row r="27" spans="1:9" ht="15" customHeight="1">
      <c r="A27" s="58" t="s">
        <v>5</v>
      </c>
      <c r="F27" s="4">
        <f>'Amazons Subs 2020'!F51</f>
        <v>4803898920</v>
      </c>
      <c r="G27" s="71">
        <f>F27*$G$2/$F$2/1000000</f>
        <v>5846.1224004109163</v>
      </c>
      <c r="I27" t="s">
        <v>148</v>
      </c>
    </row>
    <row r="28" spans="1:9" ht="15" customHeight="1">
      <c r="A28" s="58" t="s">
        <v>19</v>
      </c>
      <c r="F28" s="4">
        <f>'Amazons Subs 2020'!G51</f>
        <v>155512770</v>
      </c>
      <c r="G28" s="71">
        <f>F28*$G$2/$F$2/1000000</f>
        <v>189.25183551675372</v>
      </c>
    </row>
    <row r="29" spans="1:9" ht="15" customHeight="1">
      <c r="A29" s="68" t="s">
        <v>20</v>
      </c>
      <c r="F29" s="4">
        <f>'Amazons Subs 2020'!M51*'Amazons Subs 2020'!G51</f>
        <v>48863750.543144271</v>
      </c>
      <c r="G29" s="71">
        <f>F29*$G$2/$F$2/1000000</f>
        <v>59.464920343987338</v>
      </c>
    </row>
    <row r="30" spans="1:9" ht="15" customHeight="1">
      <c r="A30" s="58" t="s">
        <v>21</v>
      </c>
      <c r="F30" s="57">
        <f>F29/F28</f>
        <v>0.31421053424194212</v>
      </c>
      <c r="G30" s="225">
        <f>G29/G28</f>
        <v>0.31421053424194212</v>
      </c>
      <c r="H30" s="57"/>
    </row>
    <row r="31" spans="1:9" ht="15" customHeight="1">
      <c r="A31" s="58" t="s">
        <v>22</v>
      </c>
      <c r="F31" s="4">
        <f>'Amazons Subs 2020'!K51</f>
        <v>29957</v>
      </c>
      <c r="G31" s="71">
        <f>F31*$G$2/$F$2</f>
        <v>36456.280963778023</v>
      </c>
    </row>
    <row r="32" spans="1:9" ht="15" customHeight="1"/>
    <row r="33" spans="9:10" ht="15" customHeight="1"/>
    <row r="34" spans="9:10" ht="33.9" customHeight="1"/>
    <row r="35" spans="9:10" ht="25.2" customHeight="1"/>
    <row r="36" spans="9:10" ht="15" customHeight="1"/>
    <row r="37" spans="9:10" ht="15" customHeight="1">
      <c r="I37" s="60"/>
      <c r="J37" s="11"/>
    </row>
    <row r="38" spans="9:10" ht="15" customHeight="1">
      <c r="I38" s="60"/>
      <c r="J38" s="11"/>
    </row>
    <row r="39" spans="9:10" ht="15" customHeight="1"/>
    <row r="40" spans="9:10" ht="15" customHeight="1"/>
    <row r="41" spans="9:10" ht="15" customHeight="1"/>
    <row r="42" spans="9:10" ht="15" customHeight="1"/>
    <row r="43" spans="9:10" ht="15" customHeight="1"/>
    <row r="44" spans="9:10" ht="15" customHeight="1"/>
    <row r="45" spans="9:10" ht="15" customHeight="1"/>
    <row r="46" spans="9:10" ht="15" customHeight="1"/>
    <row r="47" spans="9:10" ht="15" customHeight="1"/>
    <row r="48" spans="9: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9:9" ht="15" customHeight="1"/>
    <row r="66" spans="9:9" ht="15" customHeight="1">
      <c r="I66" s="29"/>
    </row>
    <row r="67" spans="9:9" ht="53.7" customHeight="1"/>
    <row r="68" spans="9:9" ht="27.75" customHeight="1">
      <c r="I68" s="29"/>
    </row>
    <row r="69" spans="9:9" ht="15" customHeight="1"/>
    <row r="70" spans="9:9" ht="27.75" customHeight="1"/>
    <row r="71" spans="9:9" ht="15" customHeight="1"/>
    <row r="72" spans="9:9" ht="15" customHeight="1"/>
    <row r="73" spans="9:9" ht="15" customHeight="1"/>
    <row r="74" spans="9:9" ht="15" customHeight="1"/>
    <row r="75" spans="9:9" ht="15" customHeight="1"/>
    <row r="76" spans="9:9" ht="15" customHeight="1"/>
    <row r="77" spans="9:9" ht="15" customHeight="1"/>
    <row r="78" spans="9:9" ht="15" customHeight="1"/>
    <row r="79" spans="9:9" ht="15" customHeight="1"/>
    <row r="80" spans="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topLeftCell="D1" zoomScale="70" zoomScaleNormal="70" workbookViewId="0">
      <pane ySplit="1" topLeftCell="A26" activePane="bottomLeft" state="frozen"/>
      <selection pane="bottomLeft" activeCell="M51" sqref="M51"/>
    </sheetView>
  </sheetViews>
  <sheetFormatPr baseColWidth="10" defaultRowHeight="14.4"/>
  <cols>
    <col min="1" max="1" width="44.109375" style="88" customWidth="1"/>
    <col min="2" max="2" width="20.33203125" style="88" customWidth="1"/>
    <col min="3" max="3" width="37.88671875" style="88" customWidth="1"/>
    <col min="4" max="4" width="9.33203125" style="88" customWidth="1"/>
    <col min="5" max="5" width="9.6640625" style="88" customWidth="1"/>
    <col min="6" max="6" width="22.109375" style="88" customWidth="1"/>
    <col min="7" max="7" width="22" style="155" customWidth="1"/>
    <col min="8" max="8" width="18.6640625" style="104" customWidth="1"/>
    <col min="9" max="9" width="23.5546875" style="88" bestFit="1" customWidth="1"/>
    <col min="10" max="10" width="22.5546875" style="88" customWidth="1"/>
    <col min="11" max="11" width="15.44140625" style="88" customWidth="1"/>
    <col min="12" max="12" width="30.6640625" style="88" bestFit="1" customWidth="1"/>
    <col min="13" max="13" width="16.88671875" style="88" customWidth="1"/>
    <col min="14" max="14" width="14.5546875" style="88" customWidth="1"/>
    <col min="15" max="15" width="37.109375" style="88" customWidth="1"/>
    <col min="16" max="16" width="33.44140625" style="88" customWidth="1"/>
    <col min="17" max="16384" width="11.5546875" style="88"/>
  </cols>
  <sheetData>
    <row r="1" spans="1:16" s="79" customFormat="1">
      <c r="A1" s="76" t="s">
        <v>162</v>
      </c>
      <c r="B1" s="76" t="s">
        <v>163</v>
      </c>
      <c r="C1" s="76" t="s">
        <v>164</v>
      </c>
      <c r="D1" s="76" t="s">
        <v>165</v>
      </c>
      <c r="E1" s="76" t="s">
        <v>166</v>
      </c>
      <c r="F1" s="76" t="s">
        <v>167</v>
      </c>
      <c r="G1" s="77" t="s">
        <v>168</v>
      </c>
      <c r="H1" s="78" t="s">
        <v>169</v>
      </c>
      <c r="I1" s="76" t="s">
        <v>170</v>
      </c>
      <c r="J1" s="76" t="s">
        <v>171</v>
      </c>
      <c r="K1" s="76" t="s">
        <v>172</v>
      </c>
      <c r="L1" s="76" t="s">
        <v>173</v>
      </c>
      <c r="M1" s="76" t="s">
        <v>174</v>
      </c>
      <c r="N1" s="76" t="s">
        <v>175</v>
      </c>
      <c r="O1" s="76" t="s">
        <v>176</v>
      </c>
      <c r="P1" s="76"/>
    </row>
    <row r="2" spans="1:16" s="79" customFormat="1">
      <c r="A2" s="76" t="s">
        <v>177</v>
      </c>
      <c r="B2" s="76"/>
      <c r="C2" s="76"/>
      <c r="D2" s="76"/>
      <c r="E2" s="76"/>
      <c r="F2" s="80">
        <f>SUM(F3:F29)</f>
        <v>4803898920</v>
      </c>
      <c r="G2" s="80">
        <f t="shared" ref="G2:L2" si="0">SUM(G3:G29)</f>
        <v>155512770</v>
      </c>
      <c r="H2" s="78">
        <f>AVERAGE(H3:H29)</f>
        <v>4.8085145031795271E-2</v>
      </c>
      <c r="I2" s="80">
        <f t="shared" si="0"/>
        <v>111925532</v>
      </c>
      <c r="J2" s="80">
        <f t="shared" si="0"/>
        <v>43587238</v>
      </c>
      <c r="K2" s="80">
        <f t="shared" si="0"/>
        <v>28534</v>
      </c>
      <c r="L2" s="80">
        <f t="shared" si="0"/>
        <v>322801214.44999999</v>
      </c>
      <c r="M2" s="81">
        <f>AVERAGE(M3:M29)</f>
        <v>0.31421053424194212</v>
      </c>
      <c r="N2" s="76"/>
      <c r="O2" s="76"/>
      <c r="P2" s="76"/>
    </row>
    <row r="3" spans="1:16">
      <c r="A3" s="82" t="s">
        <v>178</v>
      </c>
      <c r="B3" s="82" t="s">
        <v>179</v>
      </c>
      <c r="C3" s="82" t="s">
        <v>180</v>
      </c>
      <c r="D3" s="82"/>
      <c r="E3" s="82"/>
      <c r="F3" s="83">
        <v>62284159</v>
      </c>
      <c r="G3" s="84">
        <f t="shared" ref="G3:G24" si="1">I3+J3</f>
        <v>1311985</v>
      </c>
      <c r="H3" s="85">
        <f>G3/F3</f>
        <v>2.1064505342361612E-2</v>
      </c>
      <c r="I3" s="86">
        <v>844188</v>
      </c>
      <c r="J3" s="83">
        <v>467797</v>
      </c>
      <c r="K3" s="82">
        <v>143</v>
      </c>
      <c r="L3" s="87">
        <v>1568629.33</v>
      </c>
      <c r="M3" s="85">
        <f t="shared" ref="M3:M24" si="2">J3/G3</f>
        <v>0.3565566679497098</v>
      </c>
      <c r="N3" s="85"/>
      <c r="O3" s="82" t="s">
        <v>181</v>
      </c>
      <c r="P3" s="82"/>
    </row>
    <row r="4" spans="1:16">
      <c r="A4" s="82" t="s">
        <v>182</v>
      </c>
      <c r="B4" s="82" t="s">
        <v>183</v>
      </c>
      <c r="C4" s="82" t="s">
        <v>184</v>
      </c>
      <c r="D4" s="82"/>
      <c r="E4" s="82"/>
      <c r="F4" s="83">
        <v>191094658</v>
      </c>
      <c r="G4" s="84">
        <f t="shared" si="1"/>
        <v>16675039</v>
      </c>
      <c r="H4" s="85">
        <f t="shared" ref="H4:H67" si="3">G4/F4</f>
        <v>8.7260623475932012E-2</v>
      </c>
      <c r="I4" s="86">
        <v>11062121</v>
      </c>
      <c r="J4" s="83">
        <v>5612918</v>
      </c>
      <c r="K4" s="83">
        <v>1032</v>
      </c>
      <c r="L4" s="87">
        <v>31867790.760000002</v>
      </c>
      <c r="M4" s="85">
        <f t="shared" si="2"/>
        <v>0.33660598934731129</v>
      </c>
      <c r="N4" s="85"/>
      <c r="O4" s="82" t="s">
        <v>185</v>
      </c>
      <c r="P4" s="82"/>
    </row>
    <row r="5" spans="1:16">
      <c r="A5" s="82" t="s">
        <v>186</v>
      </c>
      <c r="B5" s="82" t="s">
        <v>179</v>
      </c>
      <c r="C5" s="82" t="s">
        <v>180</v>
      </c>
      <c r="D5" s="82"/>
      <c r="E5" s="82"/>
      <c r="F5" s="83">
        <v>1293999382</v>
      </c>
      <c r="G5" s="84">
        <f t="shared" si="1"/>
        <v>5829591</v>
      </c>
      <c r="H5" s="85">
        <f t="shared" si="3"/>
        <v>4.5050956600843264E-3</v>
      </c>
      <c r="I5" s="86">
        <v>3854055</v>
      </c>
      <c r="J5" s="83">
        <v>1975536</v>
      </c>
      <c r="K5" s="82">
        <v>259</v>
      </c>
      <c r="L5" s="87">
        <v>14789469.27</v>
      </c>
      <c r="M5" s="85">
        <f t="shared" si="2"/>
        <v>0.33888072079156156</v>
      </c>
      <c r="N5" s="85"/>
      <c r="O5" s="82" t="s">
        <v>187</v>
      </c>
      <c r="P5" s="82"/>
    </row>
    <row r="6" spans="1:16">
      <c r="A6" s="82" t="s">
        <v>188</v>
      </c>
      <c r="B6" s="82" t="s">
        <v>189</v>
      </c>
      <c r="C6" s="82" t="s">
        <v>180</v>
      </c>
      <c r="D6" s="82"/>
      <c r="E6" s="82"/>
      <c r="F6" s="83">
        <v>49512785</v>
      </c>
      <c r="G6" s="84">
        <f t="shared" si="1"/>
        <v>2436717</v>
      </c>
      <c r="H6" s="85">
        <f t="shared" si="3"/>
        <v>4.9213894956625849E-2</v>
      </c>
      <c r="I6" s="86">
        <v>1506101</v>
      </c>
      <c r="J6" s="83">
        <v>930616</v>
      </c>
      <c r="K6" s="82">
        <v>213</v>
      </c>
      <c r="L6" s="87">
        <v>2426247.7999999998</v>
      </c>
      <c r="M6" s="85">
        <f t="shared" si="2"/>
        <v>0.38191386197084026</v>
      </c>
      <c r="N6" s="85"/>
      <c r="O6" s="82" t="s">
        <v>181</v>
      </c>
      <c r="P6" s="82"/>
    </row>
    <row r="7" spans="1:16">
      <c r="A7" s="82" t="s">
        <v>190</v>
      </c>
      <c r="B7" s="82" t="s">
        <v>179</v>
      </c>
      <c r="C7" s="82" t="s">
        <v>180</v>
      </c>
      <c r="D7" s="82"/>
      <c r="E7" s="82"/>
      <c r="F7" s="83">
        <v>901803645</v>
      </c>
      <c r="G7" s="84">
        <f t="shared" si="1"/>
        <v>10452628</v>
      </c>
      <c r="H7" s="85">
        <f t="shared" si="3"/>
        <v>1.1590802563234262E-2</v>
      </c>
      <c r="I7" s="86">
        <v>9110106</v>
      </c>
      <c r="J7" s="83">
        <v>1342522</v>
      </c>
      <c r="K7" s="82">
        <v>90</v>
      </c>
      <c r="L7" s="86">
        <v>51015000</v>
      </c>
      <c r="M7" s="85">
        <f t="shared" si="2"/>
        <v>0.12843870460136914</v>
      </c>
      <c r="N7" s="85"/>
      <c r="O7" s="82" t="s">
        <v>191</v>
      </c>
      <c r="P7" s="82"/>
    </row>
    <row r="8" spans="1:16">
      <c r="A8" s="82" t="s">
        <v>192</v>
      </c>
      <c r="B8" s="82" t="s">
        <v>193</v>
      </c>
      <c r="C8" s="82" t="s">
        <v>180</v>
      </c>
      <c r="D8" s="82"/>
      <c r="E8" s="82"/>
      <c r="F8" s="83">
        <v>138888251</v>
      </c>
      <c r="G8" s="84">
        <f t="shared" si="1"/>
        <v>7307847</v>
      </c>
      <c r="H8" s="85">
        <f t="shared" si="3"/>
        <v>5.261674005816374E-2</v>
      </c>
      <c r="I8" s="86">
        <v>5039637</v>
      </c>
      <c r="J8" s="83">
        <v>2268210</v>
      </c>
      <c r="K8" s="83">
        <v>2106</v>
      </c>
      <c r="L8" s="87">
        <v>13223222.609999999</v>
      </c>
      <c r="M8" s="85">
        <f t="shared" si="2"/>
        <v>0.31038006132312296</v>
      </c>
      <c r="N8" s="85"/>
      <c r="O8" s="82" t="s">
        <v>181</v>
      </c>
      <c r="P8" s="82"/>
    </row>
    <row r="9" spans="1:16">
      <c r="A9" s="82" t="s">
        <v>194</v>
      </c>
      <c r="B9" s="82" t="s">
        <v>195</v>
      </c>
      <c r="C9" s="82" t="s">
        <v>180</v>
      </c>
      <c r="D9" s="82"/>
      <c r="E9" s="82"/>
      <c r="F9" s="83">
        <v>54475750</v>
      </c>
      <c r="G9" s="84">
        <f t="shared" si="1"/>
        <v>1419563</v>
      </c>
      <c r="H9" s="85">
        <f t="shared" si="3"/>
        <v>2.6058622414560608E-2</v>
      </c>
      <c r="I9" s="86">
        <v>908890</v>
      </c>
      <c r="J9" s="83">
        <v>510673</v>
      </c>
      <c r="K9" s="82">
        <v>161</v>
      </c>
      <c r="L9" s="87">
        <v>1377585.3</v>
      </c>
      <c r="M9" s="85">
        <f t="shared" si="2"/>
        <v>0.35973958182905585</v>
      </c>
      <c r="N9" s="85"/>
      <c r="O9" s="82" t="s">
        <v>181</v>
      </c>
      <c r="P9" s="82"/>
    </row>
    <row r="10" spans="1:16">
      <c r="A10" s="82" t="s">
        <v>196</v>
      </c>
      <c r="B10" s="82" t="s">
        <v>183</v>
      </c>
      <c r="C10" s="82" t="s">
        <v>180</v>
      </c>
      <c r="D10" s="82"/>
      <c r="E10" s="82"/>
      <c r="F10" s="83">
        <v>46868818</v>
      </c>
      <c r="G10" s="84">
        <f t="shared" si="1"/>
        <v>2233383</v>
      </c>
      <c r="H10" s="85">
        <f t="shared" si="3"/>
        <v>4.765178844493155E-2</v>
      </c>
      <c r="I10" s="86">
        <v>1562223</v>
      </c>
      <c r="J10" s="83">
        <v>671160</v>
      </c>
      <c r="K10" s="83">
        <v>1390</v>
      </c>
      <c r="L10" s="87">
        <v>4128606.28</v>
      </c>
      <c r="M10" s="85">
        <f t="shared" si="2"/>
        <v>0.30051271994100431</v>
      </c>
      <c r="N10" s="85"/>
      <c r="O10" s="82" t="s">
        <v>197</v>
      </c>
      <c r="P10" s="82"/>
    </row>
    <row r="11" spans="1:16">
      <c r="A11" s="82" t="s">
        <v>198</v>
      </c>
      <c r="B11" s="82" t="s">
        <v>179</v>
      </c>
      <c r="C11" s="82" t="s">
        <v>180</v>
      </c>
      <c r="D11" s="82"/>
      <c r="E11" s="82"/>
      <c r="F11" s="83">
        <v>57598515</v>
      </c>
      <c r="G11" s="84">
        <f t="shared" si="1"/>
        <v>1187498</v>
      </c>
      <c r="H11" s="85">
        <f t="shared" si="3"/>
        <v>2.0616816249516154E-2</v>
      </c>
      <c r="I11" s="86">
        <v>798233</v>
      </c>
      <c r="J11" s="83">
        <v>389265</v>
      </c>
      <c r="K11" s="82">
        <v>136</v>
      </c>
      <c r="L11" s="87">
        <v>1366844.85</v>
      </c>
      <c r="M11" s="85">
        <f t="shared" si="2"/>
        <v>0.32780265735184394</v>
      </c>
      <c r="N11" s="85"/>
      <c r="O11" s="82" t="s">
        <v>181</v>
      </c>
      <c r="P11" s="82"/>
    </row>
    <row r="12" spans="1:16">
      <c r="A12" s="82" t="s">
        <v>199</v>
      </c>
      <c r="B12" s="82" t="s">
        <v>179</v>
      </c>
      <c r="C12" s="82" t="s">
        <v>180</v>
      </c>
      <c r="D12" s="82"/>
      <c r="E12" s="82"/>
      <c r="F12" s="83">
        <v>50394495</v>
      </c>
      <c r="G12" s="84">
        <f t="shared" si="1"/>
        <v>1375229</v>
      </c>
      <c r="H12" s="85">
        <f t="shared" si="3"/>
        <v>2.7289270385584773E-2</v>
      </c>
      <c r="I12" s="86">
        <v>888509</v>
      </c>
      <c r="J12" s="83">
        <v>486720</v>
      </c>
      <c r="K12" s="83">
        <v>25</v>
      </c>
      <c r="L12" s="87">
        <v>1513884.89</v>
      </c>
      <c r="M12" s="85">
        <f t="shared" si="2"/>
        <v>0.35391923817778714</v>
      </c>
      <c r="N12" s="85"/>
      <c r="O12" s="82" t="s">
        <v>181</v>
      </c>
      <c r="P12" s="82"/>
    </row>
    <row r="13" spans="1:16">
      <c r="A13" s="82" t="s">
        <v>200</v>
      </c>
      <c r="B13" s="82" t="s">
        <v>183</v>
      </c>
      <c r="C13" s="82" t="s">
        <v>180</v>
      </c>
      <c r="D13" s="82"/>
      <c r="E13" s="82"/>
      <c r="F13" s="83">
        <v>29550306</v>
      </c>
      <c r="G13" s="84">
        <f t="shared" si="1"/>
        <v>1397112</v>
      </c>
      <c r="H13" s="85">
        <f t="shared" si="3"/>
        <v>4.7279104317904525E-2</v>
      </c>
      <c r="I13" s="86">
        <v>958573</v>
      </c>
      <c r="J13" s="83">
        <v>438539</v>
      </c>
      <c r="K13" s="82">
        <v>570</v>
      </c>
      <c r="L13" s="83">
        <v>6473000</v>
      </c>
      <c r="M13" s="85">
        <f t="shared" si="2"/>
        <v>0.31388965236860039</v>
      </c>
      <c r="N13" s="85"/>
      <c r="O13" s="82" t="s">
        <v>197</v>
      </c>
      <c r="P13" s="82"/>
    </row>
    <row r="14" spans="1:16">
      <c r="A14" s="82" t="s">
        <v>201</v>
      </c>
      <c r="B14" s="82" t="s">
        <v>179</v>
      </c>
      <c r="C14" s="82" t="s">
        <v>180</v>
      </c>
      <c r="D14" s="82"/>
      <c r="E14" s="82"/>
      <c r="F14" s="83">
        <v>50128122</v>
      </c>
      <c r="G14" s="84">
        <f t="shared" si="1"/>
        <v>928398</v>
      </c>
      <c r="H14" s="85">
        <f t="shared" si="3"/>
        <v>1.8520502324024826E-2</v>
      </c>
      <c r="I14" s="86">
        <v>637194</v>
      </c>
      <c r="J14" s="83">
        <v>291204</v>
      </c>
      <c r="K14" s="83">
        <v>126</v>
      </c>
      <c r="L14" s="87">
        <v>1248985.3500000001</v>
      </c>
      <c r="M14" s="85">
        <f t="shared" si="2"/>
        <v>0.31366289026904409</v>
      </c>
      <c r="N14" s="85"/>
      <c r="O14" s="82" t="s">
        <v>181</v>
      </c>
      <c r="P14" s="82"/>
    </row>
    <row r="15" spans="1:16">
      <c r="A15" s="82" t="s">
        <v>202</v>
      </c>
      <c r="B15" s="82" t="s">
        <v>179</v>
      </c>
      <c r="C15" s="82" t="s">
        <v>180</v>
      </c>
      <c r="D15" s="82"/>
      <c r="E15" s="82"/>
      <c r="F15" s="83">
        <v>404025668</v>
      </c>
      <c r="G15" s="84">
        <f t="shared" si="1"/>
        <v>9539457</v>
      </c>
      <c r="H15" s="85">
        <f t="shared" si="3"/>
        <v>2.3611017208936338E-2</v>
      </c>
      <c r="I15" s="86">
        <v>7896433</v>
      </c>
      <c r="J15" s="83">
        <v>1643024</v>
      </c>
      <c r="K15" s="82">
        <v>980</v>
      </c>
      <c r="L15" s="89"/>
      <c r="M15" s="85">
        <f t="shared" si="2"/>
        <v>0.1722345412322735</v>
      </c>
      <c r="N15" s="85"/>
      <c r="O15" s="82" t="s">
        <v>181</v>
      </c>
      <c r="P15" s="82"/>
    </row>
    <row r="16" spans="1:16">
      <c r="A16" s="82" t="s">
        <v>203</v>
      </c>
      <c r="B16" s="82" t="s">
        <v>204</v>
      </c>
      <c r="C16" s="82" t="s">
        <v>180</v>
      </c>
      <c r="D16" s="82"/>
      <c r="E16" s="82"/>
      <c r="F16" s="83">
        <v>34023957</v>
      </c>
      <c r="G16" s="84">
        <f t="shared" si="1"/>
        <v>1404509</v>
      </c>
      <c r="H16" s="85">
        <f t="shared" si="3"/>
        <v>4.1280001617683679E-2</v>
      </c>
      <c r="I16" s="86">
        <v>925350</v>
      </c>
      <c r="J16" s="83">
        <v>479159</v>
      </c>
      <c r="K16" s="83">
        <v>159</v>
      </c>
      <c r="L16" s="87">
        <v>1830682.02</v>
      </c>
      <c r="M16" s="85">
        <f t="shared" si="2"/>
        <v>0.34115765723110353</v>
      </c>
      <c r="N16" s="85"/>
      <c r="O16" s="82" t="s">
        <v>187</v>
      </c>
      <c r="P16" s="82"/>
    </row>
    <row r="17" spans="1:16">
      <c r="A17" s="82" t="s">
        <v>205</v>
      </c>
      <c r="B17" s="82" t="s">
        <v>206</v>
      </c>
      <c r="C17" s="82" t="s">
        <v>180</v>
      </c>
      <c r="D17" s="82"/>
      <c r="E17" s="82"/>
      <c r="F17" s="83">
        <v>58782468</v>
      </c>
      <c r="G17" s="84">
        <f t="shared" si="1"/>
        <v>2582467</v>
      </c>
      <c r="H17" s="85">
        <f t="shared" si="3"/>
        <v>4.3932605891947238E-2</v>
      </c>
      <c r="I17" s="86">
        <v>1739673</v>
      </c>
      <c r="J17" s="83">
        <v>842794</v>
      </c>
      <c r="K17" s="82">
        <v>261</v>
      </c>
      <c r="L17" s="87">
        <v>3746313.99</v>
      </c>
      <c r="M17" s="85">
        <f t="shared" si="2"/>
        <v>0.3263522825267467</v>
      </c>
      <c r="N17" s="85"/>
      <c r="O17" s="82" t="s">
        <v>181</v>
      </c>
      <c r="P17" s="82"/>
    </row>
    <row r="18" spans="1:16">
      <c r="A18" s="82" t="s">
        <v>207</v>
      </c>
      <c r="B18" s="82" t="s">
        <v>179</v>
      </c>
      <c r="C18" s="82" t="s">
        <v>180</v>
      </c>
      <c r="D18" s="82"/>
      <c r="E18" s="82"/>
      <c r="F18" s="83">
        <v>23134791</v>
      </c>
      <c r="G18" s="84">
        <f t="shared" si="1"/>
        <v>799952</v>
      </c>
      <c r="H18" s="85">
        <f t="shared" si="3"/>
        <v>3.4577878831928935E-2</v>
      </c>
      <c r="I18" s="86">
        <v>510654</v>
      </c>
      <c r="J18" s="83">
        <v>289298</v>
      </c>
      <c r="K18" s="83">
        <v>113</v>
      </c>
      <c r="L18" s="87">
        <v>1747505.06</v>
      </c>
      <c r="M18" s="85">
        <f t="shared" si="2"/>
        <v>0.3616441986519191</v>
      </c>
      <c r="N18" s="85"/>
      <c r="O18" s="82" t="s">
        <v>181</v>
      </c>
      <c r="P18" s="82"/>
    </row>
    <row r="19" spans="1:16">
      <c r="A19" s="82" t="s">
        <v>208</v>
      </c>
      <c r="B19" s="82" t="s">
        <v>195</v>
      </c>
      <c r="C19" s="82" t="s">
        <v>180</v>
      </c>
      <c r="D19" s="82"/>
      <c r="E19" s="82"/>
      <c r="F19" s="83">
        <v>126445250</v>
      </c>
      <c r="G19" s="84">
        <f t="shared" si="1"/>
        <v>5805199</v>
      </c>
      <c r="H19" s="85">
        <f t="shared" si="3"/>
        <v>4.5910771658089176E-2</v>
      </c>
      <c r="I19" s="86">
        <v>3799589</v>
      </c>
      <c r="J19" s="83">
        <v>2005610</v>
      </c>
      <c r="K19" s="83">
        <v>2153</v>
      </c>
      <c r="L19" s="87">
        <v>10180731.789999999</v>
      </c>
      <c r="M19" s="85">
        <f t="shared" si="2"/>
        <v>0.34548514185301832</v>
      </c>
      <c r="N19" s="85"/>
      <c r="O19" s="82" t="s">
        <v>181</v>
      </c>
      <c r="P19" s="82"/>
    </row>
    <row r="20" spans="1:16">
      <c r="A20" s="82" t="s">
        <v>209</v>
      </c>
      <c r="B20" s="82" t="s">
        <v>210</v>
      </c>
      <c r="C20" s="82" t="s">
        <v>180</v>
      </c>
      <c r="D20" s="82"/>
      <c r="E20" s="82"/>
      <c r="F20" s="83">
        <v>117551084</v>
      </c>
      <c r="G20" s="84">
        <f t="shared" si="1"/>
        <v>6844211</v>
      </c>
      <c r="H20" s="85">
        <f t="shared" si="3"/>
        <v>5.8223291245872305E-2</v>
      </c>
      <c r="I20" s="86">
        <v>4237545</v>
      </c>
      <c r="J20" s="83">
        <v>2606666</v>
      </c>
      <c r="K20" s="83">
        <v>1713</v>
      </c>
      <c r="L20" s="87">
        <v>22465741.899999999</v>
      </c>
      <c r="M20" s="85">
        <f t="shared" si="2"/>
        <v>0.38085704838731593</v>
      </c>
      <c r="N20" s="85"/>
      <c r="O20" s="82" t="s">
        <v>181</v>
      </c>
      <c r="P20" s="82"/>
    </row>
    <row r="21" spans="1:16">
      <c r="A21" s="82" t="s">
        <v>211</v>
      </c>
      <c r="B21" s="82" t="s">
        <v>210</v>
      </c>
      <c r="C21" s="82" t="s">
        <v>180</v>
      </c>
      <c r="D21" s="82"/>
      <c r="E21" s="82"/>
      <c r="F21" s="83">
        <v>121739062</v>
      </c>
      <c r="G21" s="84">
        <f t="shared" si="1"/>
        <v>5505760</v>
      </c>
      <c r="H21" s="85">
        <f t="shared" si="3"/>
        <v>4.5225911137708616E-2</v>
      </c>
      <c r="I21" s="86">
        <v>3588942</v>
      </c>
      <c r="J21" s="83">
        <v>1916818</v>
      </c>
      <c r="K21" s="86">
        <v>1826</v>
      </c>
      <c r="L21" s="86">
        <v>21597933.510000002</v>
      </c>
      <c r="M21" s="85">
        <f t="shared" si="2"/>
        <v>0.34814775798436548</v>
      </c>
      <c r="N21" s="85"/>
      <c r="O21" s="82" t="s">
        <v>181</v>
      </c>
      <c r="P21" s="82"/>
    </row>
    <row r="22" spans="1:16">
      <c r="A22" s="82" t="s">
        <v>212</v>
      </c>
      <c r="B22" s="82" t="s">
        <v>213</v>
      </c>
      <c r="C22" s="82" t="s">
        <v>180</v>
      </c>
      <c r="D22" s="82"/>
      <c r="E22" s="82"/>
      <c r="F22" s="83">
        <v>98159176</v>
      </c>
      <c r="G22" s="84">
        <f t="shared" si="1"/>
        <v>24388033</v>
      </c>
      <c r="H22" s="85">
        <f t="shared" si="3"/>
        <v>0.24845392956436391</v>
      </c>
      <c r="I22" s="86">
        <v>21412189</v>
      </c>
      <c r="J22" s="83">
        <v>2975844</v>
      </c>
      <c r="K22" s="83">
        <v>1657</v>
      </c>
      <c r="L22" s="87">
        <v>21412189.109999999</v>
      </c>
      <c r="M22" s="85">
        <f t="shared" si="2"/>
        <v>0.12202066480720278</v>
      </c>
      <c r="N22" s="85"/>
      <c r="O22" s="82" t="s">
        <v>187</v>
      </c>
      <c r="P22" s="82"/>
    </row>
    <row r="23" spans="1:16">
      <c r="A23" s="82" t="s">
        <v>214</v>
      </c>
      <c r="B23" s="82" t="s">
        <v>215</v>
      </c>
      <c r="C23" s="82" t="s">
        <v>180</v>
      </c>
      <c r="D23" s="82"/>
      <c r="E23" s="82"/>
      <c r="F23" s="83">
        <v>54298391</v>
      </c>
      <c r="G23" s="84">
        <f t="shared" si="1"/>
        <v>2526986</v>
      </c>
      <c r="H23" s="85">
        <f t="shared" si="3"/>
        <v>4.6538874420790848E-2</v>
      </c>
      <c r="I23" s="86">
        <v>1810914</v>
      </c>
      <c r="J23" s="83">
        <v>716072</v>
      </c>
      <c r="K23" s="83">
        <v>770</v>
      </c>
      <c r="L23" s="87">
        <v>10529763.140000001</v>
      </c>
      <c r="M23" s="85">
        <f t="shared" si="2"/>
        <v>0.28336999096947907</v>
      </c>
      <c r="N23" s="85"/>
      <c r="O23" s="82" t="s">
        <v>181</v>
      </c>
      <c r="P23" s="82"/>
    </row>
    <row r="24" spans="1:16">
      <c r="A24" s="82" t="s">
        <v>216</v>
      </c>
      <c r="B24" s="82" t="s">
        <v>217</v>
      </c>
      <c r="C24" s="82" t="s">
        <v>180</v>
      </c>
      <c r="D24" s="82"/>
      <c r="E24" s="82"/>
      <c r="F24" s="83">
        <v>95734016</v>
      </c>
      <c r="G24" s="84">
        <f t="shared" si="1"/>
        <v>3695515</v>
      </c>
      <c r="H24" s="85">
        <f t="shared" si="3"/>
        <v>3.8601900916806833E-2</v>
      </c>
      <c r="I24" s="86">
        <v>2418416</v>
      </c>
      <c r="J24" s="83">
        <v>1277099</v>
      </c>
      <c r="K24" s="83">
        <v>1654</v>
      </c>
      <c r="L24" s="87">
        <v>16077338.25</v>
      </c>
      <c r="M24" s="85">
        <f t="shared" si="2"/>
        <v>0.34558079185174462</v>
      </c>
      <c r="N24" s="85"/>
      <c r="O24" s="82" t="s">
        <v>181</v>
      </c>
      <c r="P24" s="82"/>
    </row>
    <row r="25" spans="1:16">
      <c r="A25" s="82" t="s">
        <v>218</v>
      </c>
      <c r="B25" s="82" t="s">
        <v>219</v>
      </c>
      <c r="C25" s="82" t="s">
        <v>180</v>
      </c>
      <c r="D25" s="82"/>
      <c r="E25" s="82"/>
      <c r="F25" s="83">
        <v>138629355</v>
      </c>
      <c r="G25" s="84">
        <f>I25+J25</f>
        <v>7249155</v>
      </c>
      <c r="H25" s="85">
        <f t="shared" si="3"/>
        <v>5.2291630441474682E-2</v>
      </c>
      <c r="I25" s="86">
        <v>4669411</v>
      </c>
      <c r="J25" s="83">
        <v>2579744</v>
      </c>
      <c r="K25" s="83">
        <v>2262</v>
      </c>
      <c r="L25" s="87">
        <v>6999486.7400000002</v>
      </c>
      <c r="M25" s="85">
        <f>J25/G25</f>
        <v>0.35586823567712372</v>
      </c>
      <c r="N25" s="85"/>
      <c r="O25" s="82" t="s">
        <v>181</v>
      </c>
      <c r="P25" s="82"/>
    </row>
    <row r="26" spans="1:16">
      <c r="A26" s="82" t="s">
        <v>220</v>
      </c>
      <c r="B26" s="82" t="s">
        <v>221</v>
      </c>
      <c r="C26" s="82" t="s">
        <v>180</v>
      </c>
      <c r="D26" s="82"/>
      <c r="E26" s="82"/>
      <c r="F26" s="83">
        <v>177101764</v>
      </c>
      <c r="G26" s="84">
        <f>I26+J26</f>
        <v>9093437</v>
      </c>
      <c r="H26" s="85">
        <f t="shared" si="3"/>
        <v>5.1345829621437314E-2</v>
      </c>
      <c r="I26" s="86">
        <v>5948113</v>
      </c>
      <c r="J26" s="83">
        <v>3145324</v>
      </c>
      <c r="K26" s="83">
        <v>3386</v>
      </c>
      <c r="L26" s="87">
        <v>6332904.6500000004</v>
      </c>
      <c r="M26" s="85">
        <f>J26/G26</f>
        <v>0.3458894585182698</v>
      </c>
      <c r="N26" s="85"/>
      <c r="O26" s="82" t="s">
        <v>181</v>
      </c>
      <c r="P26" s="82"/>
    </row>
    <row r="27" spans="1:16">
      <c r="A27" s="82" t="s">
        <v>222</v>
      </c>
      <c r="B27" s="82" t="s">
        <v>179</v>
      </c>
      <c r="C27" s="82" t="s">
        <v>223</v>
      </c>
      <c r="D27" s="82"/>
      <c r="E27" s="82"/>
      <c r="F27" s="83">
        <v>200534018</v>
      </c>
      <c r="G27" s="84">
        <f>I27+J27</f>
        <v>13753566</v>
      </c>
      <c r="H27" s="85">
        <f t="shared" si="3"/>
        <v>6.8584702671244543E-2</v>
      </c>
      <c r="I27" s="86">
        <v>8841052</v>
      </c>
      <c r="J27" s="83">
        <v>4912514</v>
      </c>
      <c r="K27" s="83">
        <v>1479</v>
      </c>
      <c r="L27" s="90">
        <v>16687465.66</v>
      </c>
      <c r="M27" s="85">
        <f>J27/G27</f>
        <v>0.35718111215665815</v>
      </c>
      <c r="N27" s="85"/>
      <c r="O27" s="82" t="s">
        <v>224</v>
      </c>
      <c r="P27" s="82"/>
    </row>
    <row r="28" spans="1:16">
      <c r="A28" s="82" t="s">
        <v>225</v>
      </c>
      <c r="B28" s="82" t="s">
        <v>226</v>
      </c>
      <c r="C28" s="82" t="s">
        <v>180</v>
      </c>
      <c r="D28" s="82"/>
      <c r="E28" s="82"/>
      <c r="F28" s="83">
        <v>112615826</v>
      </c>
      <c r="G28" s="84">
        <f>I28+J28</f>
        <v>5053565</v>
      </c>
      <c r="H28" s="85">
        <f t="shared" si="3"/>
        <v>4.4874376715045364E-2</v>
      </c>
      <c r="I28" s="86">
        <v>3592048</v>
      </c>
      <c r="J28" s="83">
        <v>1461517</v>
      </c>
      <c r="K28" s="83">
        <v>1895</v>
      </c>
      <c r="L28" s="86">
        <v>28308000</v>
      </c>
      <c r="M28" s="85">
        <f>J28/G28</f>
        <v>0.28920514527863006</v>
      </c>
      <c r="N28" s="85"/>
      <c r="O28" s="82" t="s">
        <v>227</v>
      </c>
      <c r="P28" s="82"/>
    </row>
    <row r="29" spans="1:16">
      <c r="A29" s="82" t="s">
        <v>228</v>
      </c>
      <c r="B29" s="82" t="s">
        <v>229</v>
      </c>
      <c r="C29" s="82" t="s">
        <v>180</v>
      </c>
      <c r="D29" s="82"/>
      <c r="E29" s="82"/>
      <c r="F29" s="83">
        <v>114525208</v>
      </c>
      <c r="G29" s="84">
        <f>I29+J29</f>
        <v>4715968</v>
      </c>
      <c r="H29" s="85">
        <f t="shared" si="3"/>
        <v>4.117842772221815E-2</v>
      </c>
      <c r="I29" s="86">
        <v>3365373</v>
      </c>
      <c r="J29" s="83">
        <v>1350595</v>
      </c>
      <c r="K29" s="83">
        <v>1975</v>
      </c>
      <c r="L29" s="87">
        <v>23885892.190000001</v>
      </c>
      <c r="M29" s="85">
        <f>J29/G29</f>
        <v>0.28638765148533663</v>
      </c>
      <c r="N29" s="85"/>
      <c r="O29" s="82" t="s">
        <v>227</v>
      </c>
      <c r="P29" s="82"/>
    </row>
    <row r="30" spans="1:16">
      <c r="A30" s="82" t="s">
        <v>230</v>
      </c>
      <c r="B30" s="82" t="s">
        <v>231</v>
      </c>
      <c r="C30" s="82" t="s">
        <v>180</v>
      </c>
      <c r="D30" s="82"/>
      <c r="E30" s="82"/>
      <c r="F30" s="82"/>
      <c r="G30" s="84"/>
      <c r="H30" s="85" t="e">
        <f t="shared" si="3"/>
        <v>#DIV/0!</v>
      </c>
      <c r="I30" s="86">
        <v>1056744</v>
      </c>
      <c r="J30" s="82"/>
      <c r="K30" s="82">
        <v>151</v>
      </c>
      <c r="L30" s="91" t="s">
        <v>232</v>
      </c>
      <c r="M30" s="85"/>
      <c r="N30" s="85"/>
      <c r="O30" s="82" t="s">
        <v>227</v>
      </c>
      <c r="P30" s="82"/>
    </row>
    <row r="31" spans="1:16">
      <c r="A31" s="82" t="s">
        <v>233</v>
      </c>
      <c r="B31" s="82" t="s">
        <v>179</v>
      </c>
      <c r="C31" s="82" t="s">
        <v>180</v>
      </c>
      <c r="D31" s="82"/>
      <c r="E31" s="82"/>
      <c r="F31" s="82"/>
      <c r="G31" s="84"/>
      <c r="H31" s="85" t="e">
        <f t="shared" si="3"/>
        <v>#DIV/0!</v>
      </c>
      <c r="I31" s="86">
        <v>523840</v>
      </c>
      <c r="J31" s="82"/>
      <c r="K31" s="82">
        <v>84</v>
      </c>
      <c r="L31" s="91" t="s">
        <v>234</v>
      </c>
      <c r="M31" s="85"/>
      <c r="N31" s="85"/>
      <c r="O31" s="82" t="s">
        <v>227</v>
      </c>
      <c r="P31" s="82"/>
    </row>
    <row r="32" spans="1:16">
      <c r="A32" s="82" t="s">
        <v>235</v>
      </c>
      <c r="B32" s="82" t="s">
        <v>179</v>
      </c>
      <c r="C32" s="82" t="s">
        <v>180</v>
      </c>
      <c r="D32" s="82"/>
      <c r="E32" s="82"/>
      <c r="F32" s="82"/>
      <c r="G32" s="84"/>
      <c r="H32" s="85" t="e">
        <f t="shared" si="3"/>
        <v>#DIV/0!</v>
      </c>
      <c r="I32" s="86">
        <v>292301</v>
      </c>
      <c r="J32" s="82"/>
      <c r="K32" s="82">
        <v>63</v>
      </c>
      <c r="L32" s="91" t="s">
        <v>236</v>
      </c>
      <c r="M32" s="85"/>
      <c r="N32" s="85"/>
      <c r="O32" s="82" t="s">
        <v>227</v>
      </c>
      <c r="P32" s="82"/>
    </row>
    <row r="33" spans="1:16">
      <c r="A33" s="82" t="s">
        <v>237</v>
      </c>
      <c r="B33" s="82" t="s">
        <v>238</v>
      </c>
      <c r="C33" s="82" t="s">
        <v>180</v>
      </c>
      <c r="D33" s="82"/>
      <c r="E33" s="82"/>
      <c r="F33" s="82"/>
      <c r="G33" s="84"/>
      <c r="H33" s="85" t="e">
        <f t="shared" si="3"/>
        <v>#DIV/0!</v>
      </c>
      <c r="I33" s="86">
        <v>1128196</v>
      </c>
      <c r="J33" s="82"/>
      <c r="K33" s="82">
        <v>71</v>
      </c>
      <c r="L33" s="91" t="s">
        <v>239</v>
      </c>
      <c r="M33" s="85"/>
      <c r="N33" s="85"/>
      <c r="O33" s="82" t="s">
        <v>227</v>
      </c>
      <c r="P33" s="82"/>
    </row>
    <row r="34" spans="1:16">
      <c r="A34" s="82" t="s">
        <v>240</v>
      </c>
      <c r="B34" s="82" t="s">
        <v>179</v>
      </c>
      <c r="C34" s="82" t="s">
        <v>180</v>
      </c>
      <c r="D34" s="82"/>
      <c r="E34" s="82"/>
      <c r="F34" s="82"/>
      <c r="G34" s="84"/>
      <c r="H34" s="85" t="e">
        <f t="shared" si="3"/>
        <v>#DIV/0!</v>
      </c>
      <c r="I34" s="86">
        <v>615628</v>
      </c>
      <c r="J34" s="82"/>
      <c r="K34" s="82">
        <v>73</v>
      </c>
      <c r="L34" s="91" t="s">
        <v>241</v>
      </c>
      <c r="M34" s="85"/>
      <c r="N34" s="85"/>
      <c r="O34" s="82" t="s">
        <v>227</v>
      </c>
      <c r="P34" s="82"/>
    </row>
    <row r="35" spans="1:16">
      <c r="A35" s="82" t="s">
        <v>242</v>
      </c>
      <c r="B35" s="82" t="s">
        <v>179</v>
      </c>
      <c r="C35" s="82" t="s">
        <v>180</v>
      </c>
      <c r="D35" s="82"/>
      <c r="E35" s="82"/>
      <c r="F35" s="82"/>
      <c r="G35" s="84"/>
      <c r="H35" s="85" t="e">
        <f t="shared" si="3"/>
        <v>#DIV/0!</v>
      </c>
      <c r="I35" s="86">
        <v>228666</v>
      </c>
      <c r="J35" s="82"/>
      <c r="K35" s="82">
        <v>31</v>
      </c>
      <c r="L35" s="91" t="s">
        <v>243</v>
      </c>
      <c r="M35" s="85"/>
      <c r="N35" s="85"/>
      <c r="O35" s="82" t="s">
        <v>227</v>
      </c>
      <c r="P35" s="82"/>
    </row>
    <row r="36" spans="1:16">
      <c r="A36" s="82" t="s">
        <v>244</v>
      </c>
      <c r="B36" s="82" t="s">
        <v>179</v>
      </c>
      <c r="C36" s="82" t="s">
        <v>180</v>
      </c>
      <c r="D36" s="82"/>
      <c r="E36" s="82"/>
      <c r="F36" s="82"/>
      <c r="G36" s="84"/>
      <c r="H36" s="85" t="e">
        <f t="shared" si="3"/>
        <v>#DIV/0!</v>
      </c>
      <c r="I36" s="86">
        <v>498872</v>
      </c>
      <c r="J36" s="82"/>
      <c r="K36" s="82">
        <v>62</v>
      </c>
      <c r="L36" s="91" t="s">
        <v>245</v>
      </c>
      <c r="M36" s="85"/>
      <c r="N36" s="85"/>
      <c r="O36" s="82" t="s">
        <v>227</v>
      </c>
      <c r="P36" s="82"/>
    </row>
    <row r="37" spans="1:16">
      <c r="A37" s="82" t="s">
        <v>246</v>
      </c>
      <c r="B37" s="82" t="s">
        <v>179</v>
      </c>
      <c r="C37" s="82" t="s">
        <v>180</v>
      </c>
      <c r="D37" s="82"/>
      <c r="E37" s="82"/>
      <c r="F37" s="82"/>
      <c r="G37" s="84"/>
      <c r="H37" s="85" t="e">
        <f t="shared" si="3"/>
        <v>#DIV/0!</v>
      </c>
      <c r="I37" s="86">
        <v>660140</v>
      </c>
      <c r="J37" s="82"/>
      <c r="K37" s="82">
        <v>82</v>
      </c>
      <c r="L37" s="91" t="s">
        <v>247</v>
      </c>
      <c r="M37" s="85"/>
      <c r="N37" s="85"/>
      <c r="O37" s="82" t="s">
        <v>227</v>
      </c>
      <c r="P37" s="82"/>
    </row>
    <row r="38" spans="1:16">
      <c r="A38" s="82" t="s">
        <v>248</v>
      </c>
      <c r="B38" s="82" t="s">
        <v>179</v>
      </c>
      <c r="C38" s="82" t="s">
        <v>180</v>
      </c>
      <c r="D38" s="82"/>
      <c r="E38" s="82"/>
      <c r="F38" s="82"/>
      <c r="G38" s="84"/>
      <c r="H38" s="85" t="e">
        <f t="shared" si="3"/>
        <v>#DIV/0!</v>
      </c>
      <c r="I38" s="86">
        <v>24503</v>
      </c>
      <c r="J38" s="82"/>
      <c r="K38" s="82">
        <v>1</v>
      </c>
      <c r="L38" s="91" t="s">
        <v>249</v>
      </c>
      <c r="M38" s="85"/>
      <c r="N38" s="85"/>
      <c r="O38" s="82" t="s">
        <v>227</v>
      </c>
      <c r="P38" s="82"/>
    </row>
    <row r="39" spans="1:16">
      <c r="A39" s="82" t="s">
        <v>250</v>
      </c>
      <c r="B39" s="82" t="s">
        <v>179</v>
      </c>
      <c r="C39" s="82" t="s">
        <v>180</v>
      </c>
      <c r="D39" s="82"/>
      <c r="E39" s="82"/>
      <c r="F39" s="82"/>
      <c r="G39" s="84"/>
      <c r="H39" s="85" t="e">
        <f t="shared" si="3"/>
        <v>#DIV/0!</v>
      </c>
      <c r="I39" s="86">
        <v>577324</v>
      </c>
      <c r="J39" s="82"/>
      <c r="K39" s="82">
        <v>81</v>
      </c>
      <c r="L39" s="91" t="s">
        <v>251</v>
      </c>
      <c r="M39" s="85"/>
      <c r="N39" s="85"/>
      <c r="O39" s="82" t="s">
        <v>227</v>
      </c>
      <c r="P39" s="82"/>
    </row>
    <row r="40" spans="1:16">
      <c r="A40" s="82" t="s">
        <v>252</v>
      </c>
      <c r="B40" s="82" t="s">
        <v>179</v>
      </c>
      <c r="C40" s="82" t="s">
        <v>180</v>
      </c>
      <c r="D40" s="82"/>
      <c r="E40" s="82"/>
      <c r="F40" s="82"/>
      <c r="G40" s="84"/>
      <c r="H40" s="85" t="e">
        <f t="shared" si="3"/>
        <v>#DIV/0!</v>
      </c>
      <c r="I40" s="86">
        <v>503538</v>
      </c>
      <c r="J40" s="82"/>
      <c r="K40" s="82">
        <v>77</v>
      </c>
      <c r="L40" s="91" t="s">
        <v>253</v>
      </c>
      <c r="M40" s="85"/>
      <c r="N40" s="85"/>
      <c r="O40" s="82" t="s">
        <v>227</v>
      </c>
      <c r="P40" s="82"/>
    </row>
    <row r="41" spans="1:16">
      <c r="A41" s="82" t="s">
        <v>254</v>
      </c>
      <c r="B41" s="82" t="s">
        <v>179</v>
      </c>
      <c r="C41" s="82" t="s">
        <v>180</v>
      </c>
      <c r="D41" s="82"/>
      <c r="E41" s="82"/>
      <c r="F41" s="82"/>
      <c r="G41" s="84"/>
      <c r="H41" s="85" t="e">
        <f t="shared" si="3"/>
        <v>#DIV/0!</v>
      </c>
      <c r="I41" s="86">
        <v>553735</v>
      </c>
      <c r="J41" s="82"/>
      <c r="K41" s="82">
        <v>66</v>
      </c>
      <c r="L41" s="91" t="s">
        <v>255</v>
      </c>
      <c r="M41" s="85"/>
      <c r="N41" s="85"/>
      <c r="O41" s="82" t="s">
        <v>227</v>
      </c>
      <c r="P41" s="82"/>
    </row>
    <row r="42" spans="1:16">
      <c r="A42" s="82" t="s">
        <v>256</v>
      </c>
      <c r="B42" s="82" t="s">
        <v>179</v>
      </c>
      <c r="C42" s="82" t="s">
        <v>180</v>
      </c>
      <c r="D42" s="82"/>
      <c r="E42" s="82"/>
      <c r="F42" s="82"/>
      <c r="G42" s="84"/>
      <c r="H42" s="85" t="e">
        <f t="shared" si="3"/>
        <v>#DIV/0!</v>
      </c>
      <c r="I42" s="86">
        <v>351071</v>
      </c>
      <c r="J42" s="82"/>
      <c r="K42" s="82">
        <v>66</v>
      </c>
      <c r="L42" s="91" t="s">
        <v>257</v>
      </c>
      <c r="M42" s="85"/>
      <c r="N42" s="85"/>
      <c r="O42" s="82" t="s">
        <v>227</v>
      </c>
      <c r="P42" s="82"/>
    </row>
    <row r="43" spans="1:16">
      <c r="A43" s="82" t="s">
        <v>258</v>
      </c>
      <c r="B43" s="82" t="s">
        <v>179</v>
      </c>
      <c r="C43" s="82" t="s">
        <v>180</v>
      </c>
      <c r="D43" s="82"/>
      <c r="E43" s="82"/>
      <c r="F43" s="82"/>
      <c r="G43" s="84"/>
      <c r="H43" s="85" t="e">
        <f t="shared" si="3"/>
        <v>#DIV/0!</v>
      </c>
      <c r="I43" s="86">
        <v>397681</v>
      </c>
      <c r="J43" s="82"/>
      <c r="K43" s="82">
        <v>61</v>
      </c>
      <c r="L43" s="91" t="s">
        <v>259</v>
      </c>
      <c r="M43" s="85"/>
      <c r="N43" s="85"/>
      <c r="O43" s="82" t="s">
        <v>227</v>
      </c>
      <c r="P43" s="82"/>
    </row>
    <row r="44" spans="1:16">
      <c r="A44" s="82" t="s">
        <v>260</v>
      </c>
      <c r="B44" s="82" t="s">
        <v>261</v>
      </c>
      <c r="C44" s="82" t="s">
        <v>180</v>
      </c>
      <c r="D44" s="82"/>
      <c r="E44" s="82"/>
      <c r="F44" s="82"/>
      <c r="G44" s="84"/>
      <c r="H44" s="85" t="e">
        <f t="shared" si="3"/>
        <v>#DIV/0!</v>
      </c>
      <c r="I44" s="86">
        <v>1224599</v>
      </c>
      <c r="J44" s="82"/>
      <c r="K44" s="82">
        <v>144</v>
      </c>
      <c r="L44" s="91" t="s">
        <v>262</v>
      </c>
      <c r="M44" s="85"/>
      <c r="N44" s="85"/>
      <c r="O44" s="82" t="s">
        <v>227</v>
      </c>
      <c r="P44" s="82"/>
    </row>
    <row r="45" spans="1:16">
      <c r="A45" s="82" t="s">
        <v>263</v>
      </c>
      <c r="B45" s="82" t="s">
        <v>179</v>
      </c>
      <c r="C45" s="82" t="s">
        <v>180</v>
      </c>
      <c r="D45" s="82"/>
      <c r="E45" s="82"/>
      <c r="F45" s="82"/>
      <c r="G45" s="84"/>
      <c r="H45" s="85" t="e">
        <f t="shared" si="3"/>
        <v>#DIV/0!</v>
      </c>
      <c r="I45" s="86">
        <v>910751</v>
      </c>
      <c r="J45" s="82"/>
      <c r="K45" s="82">
        <v>56</v>
      </c>
      <c r="L45" s="91" t="s">
        <v>264</v>
      </c>
      <c r="M45" s="85"/>
      <c r="N45" s="85"/>
      <c r="O45" s="82" t="s">
        <v>227</v>
      </c>
      <c r="P45" s="82"/>
    </row>
    <row r="46" spans="1:16">
      <c r="A46" s="82" t="s">
        <v>265</v>
      </c>
      <c r="B46" s="82" t="s">
        <v>179</v>
      </c>
      <c r="C46" s="82" t="s">
        <v>180</v>
      </c>
      <c r="D46" s="82"/>
      <c r="E46" s="82"/>
      <c r="F46" s="82"/>
      <c r="G46" s="84"/>
      <c r="H46" s="85" t="e">
        <f t="shared" si="3"/>
        <v>#DIV/0!</v>
      </c>
      <c r="I46" s="86">
        <v>446203</v>
      </c>
      <c r="J46" s="82"/>
      <c r="K46" s="82">
        <v>44</v>
      </c>
      <c r="L46" s="91" t="s">
        <v>266</v>
      </c>
      <c r="M46" s="85"/>
      <c r="N46" s="85"/>
      <c r="O46" s="82" t="s">
        <v>227</v>
      </c>
      <c r="P46" s="82"/>
    </row>
    <row r="47" spans="1:16">
      <c r="A47" s="82" t="s">
        <v>267</v>
      </c>
      <c r="B47" s="82" t="s">
        <v>179</v>
      </c>
      <c r="C47" s="82" t="s">
        <v>180</v>
      </c>
      <c r="D47" s="82"/>
      <c r="E47" s="82"/>
      <c r="F47" s="82"/>
      <c r="G47" s="84"/>
      <c r="H47" s="85" t="e">
        <f t="shared" si="3"/>
        <v>#DIV/0!</v>
      </c>
      <c r="I47" s="86">
        <v>376463</v>
      </c>
      <c r="J47" s="82"/>
      <c r="K47" s="82">
        <v>47</v>
      </c>
      <c r="L47" s="91" t="s">
        <v>268</v>
      </c>
      <c r="M47" s="85"/>
      <c r="N47" s="85"/>
      <c r="O47" s="82" t="s">
        <v>227</v>
      </c>
      <c r="P47" s="82"/>
    </row>
    <row r="48" spans="1:16">
      <c r="A48" s="82" t="s">
        <v>269</v>
      </c>
      <c r="B48" s="82" t="s">
        <v>179</v>
      </c>
      <c r="C48" s="82" t="s">
        <v>180</v>
      </c>
      <c r="D48" s="82"/>
      <c r="E48" s="82"/>
      <c r="F48" s="82"/>
      <c r="G48" s="84"/>
      <c r="H48" s="85" t="e">
        <f t="shared" si="3"/>
        <v>#DIV/0!</v>
      </c>
      <c r="I48" s="86">
        <v>535083</v>
      </c>
      <c r="J48" s="82"/>
      <c r="K48" s="82">
        <v>77</v>
      </c>
      <c r="L48" s="91" t="s">
        <v>270</v>
      </c>
      <c r="M48" s="85"/>
      <c r="N48" s="85"/>
      <c r="O48" s="82" t="s">
        <v>227</v>
      </c>
      <c r="P48" s="82"/>
    </row>
    <row r="49" spans="1:16">
      <c r="A49" s="82" t="s">
        <v>271</v>
      </c>
      <c r="B49" s="82" t="s">
        <v>179</v>
      </c>
      <c r="C49" s="82" t="s">
        <v>180</v>
      </c>
      <c r="D49" s="82"/>
      <c r="E49" s="82"/>
      <c r="F49" s="82"/>
      <c r="G49" s="84"/>
      <c r="H49" s="85" t="e">
        <f t="shared" si="3"/>
        <v>#DIV/0!</v>
      </c>
      <c r="I49" s="86">
        <v>351144</v>
      </c>
      <c r="J49" s="82"/>
      <c r="K49" s="82">
        <v>58</v>
      </c>
      <c r="L49" s="91" t="s">
        <v>272</v>
      </c>
      <c r="M49" s="85"/>
      <c r="N49" s="85"/>
      <c r="O49" s="82" t="s">
        <v>227</v>
      </c>
      <c r="P49" s="82"/>
    </row>
    <row r="50" spans="1:16">
      <c r="A50" s="82" t="s">
        <v>273</v>
      </c>
      <c r="B50" s="82" t="s">
        <v>179</v>
      </c>
      <c r="C50" s="82" t="s">
        <v>180</v>
      </c>
      <c r="D50" s="82"/>
      <c r="E50" s="82"/>
      <c r="F50" s="82"/>
      <c r="G50" s="84"/>
      <c r="H50" s="85" t="e">
        <f t="shared" si="3"/>
        <v>#DIV/0!</v>
      </c>
      <c r="I50" s="86">
        <v>176730</v>
      </c>
      <c r="J50" s="82"/>
      <c r="K50" s="82">
        <v>28</v>
      </c>
      <c r="L50" s="87">
        <v>660338.13</v>
      </c>
      <c r="M50" s="85"/>
      <c r="N50" s="85"/>
      <c r="O50" s="82" t="s">
        <v>227</v>
      </c>
      <c r="P50" s="82"/>
    </row>
    <row r="51" spans="1:16" s="92" customFormat="1">
      <c r="A51" s="92" t="s">
        <v>274</v>
      </c>
      <c r="F51" s="93">
        <f>SUM(F3:F50)</f>
        <v>4803898920</v>
      </c>
      <c r="G51" s="93">
        <f>SUM(G3:G50)</f>
        <v>155512770</v>
      </c>
      <c r="H51" s="94" t="e">
        <f>AVERAGE(H3:H50)</f>
        <v>#DIV/0!</v>
      </c>
      <c r="I51" s="93">
        <f>SUM(I3:I50)</f>
        <v>123358744</v>
      </c>
      <c r="J51" s="93">
        <f>SUM(J3:J50)</f>
        <v>43587238</v>
      </c>
      <c r="K51" s="93">
        <f>SUM(K3:K50)</f>
        <v>29957</v>
      </c>
      <c r="L51" s="93">
        <f>SUM(L3:L50)</f>
        <v>323461552.57999998</v>
      </c>
      <c r="M51" s="95">
        <f>AVERAGE(M3:M50)</f>
        <v>0.31421053424194212</v>
      </c>
    </row>
    <row r="52" spans="1:16" s="96" customFormat="1">
      <c r="A52" s="96" t="s">
        <v>275</v>
      </c>
      <c r="B52" s="96" t="s">
        <v>276</v>
      </c>
      <c r="D52" s="96" t="s">
        <v>277</v>
      </c>
      <c r="F52" s="97"/>
      <c r="G52" s="97"/>
      <c r="H52" s="98"/>
      <c r="I52" s="97">
        <v>-48644</v>
      </c>
      <c r="J52" s="97"/>
      <c r="K52" s="97">
        <v>0</v>
      </c>
      <c r="L52" s="97"/>
      <c r="M52" s="99"/>
      <c r="O52" s="100" t="s">
        <v>278</v>
      </c>
    </row>
    <row r="53" spans="1:16">
      <c r="A53" s="101" t="s">
        <v>279</v>
      </c>
      <c r="B53" s="82" t="s">
        <v>276</v>
      </c>
      <c r="C53" s="88" t="s">
        <v>280</v>
      </c>
      <c r="D53" s="88" t="s">
        <v>277</v>
      </c>
      <c r="F53" s="102"/>
      <c r="G53" s="103"/>
      <c r="H53" s="104" t="e">
        <f t="shared" si="3"/>
        <v>#DIV/0!</v>
      </c>
      <c r="I53" s="87">
        <v>-6197</v>
      </c>
      <c r="J53" s="102"/>
      <c r="K53" s="105">
        <v>10</v>
      </c>
      <c r="L53" s="105">
        <v>689271</v>
      </c>
      <c r="N53" s="102"/>
      <c r="O53" s="88" t="s">
        <v>281</v>
      </c>
    </row>
    <row r="54" spans="1:16">
      <c r="A54" s="106" t="s">
        <v>282</v>
      </c>
      <c r="B54" s="82" t="s">
        <v>276</v>
      </c>
      <c r="C54" s="88" t="s">
        <v>280</v>
      </c>
      <c r="D54" s="88" t="s">
        <v>277</v>
      </c>
      <c r="F54" s="105">
        <v>285273540</v>
      </c>
      <c r="G54" s="103">
        <f>I54+J54</f>
        <v>12392048</v>
      </c>
      <c r="H54" s="104">
        <f t="shared" si="3"/>
        <v>4.3439177709927113E-2</v>
      </c>
      <c r="I54" s="105">
        <v>9142078</v>
      </c>
      <c r="J54" s="105">
        <v>3249970</v>
      </c>
      <c r="K54" s="105">
        <v>88</v>
      </c>
      <c r="L54" s="105">
        <v>22799205</v>
      </c>
      <c r="M54" s="107">
        <f>J54/G54</f>
        <v>0.26226254126840048</v>
      </c>
      <c r="N54" s="108"/>
      <c r="O54" s="88" t="s">
        <v>283</v>
      </c>
    </row>
    <row r="55" spans="1:16">
      <c r="A55" s="101" t="s">
        <v>284</v>
      </c>
      <c r="B55" s="82" t="s">
        <v>276</v>
      </c>
      <c r="C55" s="88" t="s">
        <v>280</v>
      </c>
      <c r="D55" s="88" t="s">
        <v>277</v>
      </c>
      <c r="E55" s="88">
        <v>0</v>
      </c>
      <c r="F55" s="109"/>
      <c r="G55" s="103"/>
      <c r="H55" s="104" t="e">
        <f t="shared" si="3"/>
        <v>#DIV/0!</v>
      </c>
      <c r="I55" s="90">
        <v>-104479743</v>
      </c>
      <c r="J55" s="110"/>
      <c r="K55" s="105">
        <v>6</v>
      </c>
      <c r="L55" s="105">
        <v>-107256501</v>
      </c>
      <c r="M55" s="107"/>
      <c r="N55" s="108"/>
      <c r="O55" s="88" t="s">
        <v>285</v>
      </c>
    </row>
    <row r="56" spans="1:16" s="112" customFormat="1">
      <c r="A56" s="111" t="s">
        <v>286</v>
      </c>
      <c r="F56" s="113"/>
      <c r="G56" s="114"/>
      <c r="H56" s="115" t="e">
        <f t="shared" si="3"/>
        <v>#DIV/0!</v>
      </c>
      <c r="I56" s="113"/>
      <c r="J56" s="113"/>
      <c r="K56" s="116"/>
      <c r="L56" s="116"/>
      <c r="M56" s="117"/>
      <c r="N56" s="118"/>
    </row>
    <row r="57" spans="1:16" s="112" customFormat="1">
      <c r="A57" s="111" t="s">
        <v>287</v>
      </c>
      <c r="F57" s="116"/>
      <c r="G57" s="114"/>
      <c r="H57" s="115" t="e">
        <f t="shared" si="3"/>
        <v>#DIV/0!</v>
      </c>
      <c r="I57" s="116"/>
      <c r="J57" s="116"/>
      <c r="K57" s="116"/>
      <c r="L57" s="116"/>
      <c r="M57" s="117"/>
      <c r="N57" s="118"/>
    </row>
    <row r="58" spans="1:16">
      <c r="A58" s="106" t="s">
        <v>288</v>
      </c>
      <c r="B58" s="82" t="s">
        <v>276</v>
      </c>
      <c r="C58" s="88" t="s">
        <v>280</v>
      </c>
      <c r="D58" s="88" t="s">
        <v>277</v>
      </c>
      <c r="F58" s="109">
        <v>6051559138</v>
      </c>
      <c r="G58" s="103">
        <f>I58+J58</f>
        <v>172637110</v>
      </c>
      <c r="H58" s="104">
        <f t="shared" si="3"/>
        <v>2.8527707663955081E-2</v>
      </c>
      <c r="I58" s="119">
        <v>137027186</v>
      </c>
      <c r="J58" s="109">
        <v>35609924</v>
      </c>
      <c r="K58" s="105">
        <v>5862</v>
      </c>
      <c r="L58" s="105">
        <v>263861971</v>
      </c>
      <c r="M58" s="107">
        <f>J58/G58</f>
        <v>0.20627038995265851</v>
      </c>
      <c r="N58" s="108"/>
      <c r="O58" s="88" t="s">
        <v>289</v>
      </c>
    </row>
    <row r="59" spans="1:16">
      <c r="A59" s="106" t="s">
        <v>290</v>
      </c>
      <c r="B59" s="82" t="s">
        <v>276</v>
      </c>
      <c r="C59" s="88" t="s">
        <v>280</v>
      </c>
      <c r="D59" s="88" t="s">
        <v>277</v>
      </c>
      <c r="F59" s="109">
        <v>43840283811</v>
      </c>
      <c r="G59" s="103">
        <f>I59+J59</f>
        <v>-1221167146</v>
      </c>
      <c r="H59" s="104">
        <f t="shared" si="3"/>
        <v>-2.7854909682258854E-2</v>
      </c>
      <c r="I59" s="110">
        <v>-1164781107</v>
      </c>
      <c r="J59" s="120">
        <v>-56386039</v>
      </c>
      <c r="K59" s="105">
        <v>5262</v>
      </c>
      <c r="L59" s="105">
        <v>-2706762875</v>
      </c>
      <c r="M59" s="121"/>
      <c r="N59" s="108"/>
      <c r="O59" s="88" t="s">
        <v>291</v>
      </c>
    </row>
    <row r="60" spans="1:16" s="112" customFormat="1">
      <c r="A60" s="111" t="s">
        <v>292</v>
      </c>
      <c r="F60" s="113"/>
      <c r="G60" s="114"/>
      <c r="H60" s="115" t="e">
        <f t="shared" si="3"/>
        <v>#DIV/0!</v>
      </c>
      <c r="I60" s="122"/>
      <c r="J60" s="113"/>
      <c r="K60" s="116"/>
      <c r="L60" s="116"/>
      <c r="M60" s="117"/>
      <c r="N60" s="118"/>
    </row>
    <row r="61" spans="1:16" s="112" customFormat="1">
      <c r="A61" s="111" t="s">
        <v>293</v>
      </c>
      <c r="F61" s="123"/>
      <c r="G61" s="114"/>
      <c r="H61" s="115" t="e">
        <f t="shared" si="3"/>
        <v>#DIV/0!</v>
      </c>
      <c r="I61" s="123"/>
      <c r="J61" s="123"/>
      <c r="K61" s="116"/>
      <c r="L61" s="116"/>
      <c r="N61" s="123"/>
    </row>
    <row r="62" spans="1:16">
      <c r="A62" s="106" t="s">
        <v>294</v>
      </c>
      <c r="B62" s="82" t="s">
        <v>276</v>
      </c>
      <c r="C62" s="88" t="s">
        <v>280</v>
      </c>
      <c r="F62" s="102"/>
      <c r="G62" s="103"/>
      <c r="H62" s="104" t="e">
        <f t="shared" si="3"/>
        <v>#DIV/0!</v>
      </c>
      <c r="I62" s="109">
        <v>-3943493</v>
      </c>
      <c r="J62" s="102"/>
      <c r="K62" s="105"/>
      <c r="L62" s="105">
        <v>9327368</v>
      </c>
      <c r="N62" s="102"/>
      <c r="O62" s="88" t="s">
        <v>295</v>
      </c>
    </row>
    <row r="63" spans="1:16">
      <c r="A63" s="106" t="s">
        <v>180</v>
      </c>
      <c r="B63" s="82" t="s">
        <v>276</v>
      </c>
      <c r="C63" s="88" t="s">
        <v>280</v>
      </c>
      <c r="D63" s="88" t="s">
        <v>277</v>
      </c>
      <c r="E63" s="88">
        <v>1482150</v>
      </c>
      <c r="F63" s="109">
        <v>10296104327</v>
      </c>
      <c r="G63" s="103">
        <f t="shared" ref="G63:G68" si="4">I63+J63</f>
        <v>2230233051</v>
      </c>
      <c r="H63" s="104">
        <f t="shared" si="3"/>
        <v>0.21660940683667571</v>
      </c>
      <c r="I63" s="109">
        <v>2208960160</v>
      </c>
      <c r="J63" s="109">
        <v>21272891</v>
      </c>
      <c r="K63" s="105">
        <v>820</v>
      </c>
      <c r="L63" s="105">
        <v>3745908223</v>
      </c>
      <c r="M63" s="107">
        <f>J63/G63</f>
        <v>9.538416171557311E-3</v>
      </c>
      <c r="N63" s="124" t="s">
        <v>296</v>
      </c>
      <c r="O63" s="88" t="s">
        <v>297</v>
      </c>
    </row>
    <row r="64" spans="1:16" s="133" customFormat="1">
      <c r="A64" s="125" t="s">
        <v>298</v>
      </c>
      <c r="B64" s="126" t="s">
        <v>276</v>
      </c>
      <c r="C64" s="88" t="s">
        <v>280</v>
      </c>
      <c r="D64" s="88" t="s">
        <v>277</v>
      </c>
      <c r="E64" s="88"/>
      <c r="F64" s="127">
        <v>742778993</v>
      </c>
      <c r="G64" s="128">
        <f t="shared" si="4"/>
        <v>76070083</v>
      </c>
      <c r="H64" s="129">
        <f t="shared" si="3"/>
        <v>0.10241280881243231</v>
      </c>
      <c r="I64" s="127">
        <v>56571332</v>
      </c>
      <c r="J64" s="127">
        <v>19498751</v>
      </c>
      <c r="K64" s="130">
        <v>43</v>
      </c>
      <c r="L64" s="130">
        <v>120607918</v>
      </c>
      <c r="M64" s="131">
        <f>J64/G64</f>
        <v>0.25632614335388593</v>
      </c>
      <c r="N64" s="132"/>
      <c r="O64" s="133" t="s">
        <v>299</v>
      </c>
    </row>
    <row r="65" spans="1:16" s="135" customFormat="1">
      <c r="A65" s="134" t="s">
        <v>300</v>
      </c>
      <c r="F65" s="136"/>
      <c r="G65" s="137">
        <f t="shared" si="4"/>
        <v>0</v>
      </c>
      <c r="H65" s="138" t="e">
        <f t="shared" si="3"/>
        <v>#DIV/0!</v>
      </c>
      <c r="I65" s="139"/>
      <c r="J65" s="136"/>
      <c r="L65" s="140"/>
      <c r="M65" s="141"/>
      <c r="N65" s="142"/>
    </row>
    <row r="66" spans="1:16" s="133" customFormat="1">
      <c r="A66" s="125" t="s">
        <v>301</v>
      </c>
      <c r="B66" s="126" t="s">
        <v>276</v>
      </c>
      <c r="C66" s="88" t="s">
        <v>280</v>
      </c>
      <c r="D66" s="88" t="s">
        <v>277</v>
      </c>
      <c r="E66" s="88">
        <v>0</v>
      </c>
      <c r="F66" s="127">
        <v>17716310266</v>
      </c>
      <c r="G66" s="128">
        <f t="shared" si="4"/>
        <v>530920994</v>
      </c>
      <c r="H66" s="129">
        <f t="shared" si="3"/>
        <v>2.9967921425428482E-2</v>
      </c>
      <c r="I66" s="143">
        <v>415986970</v>
      </c>
      <c r="J66" s="127">
        <v>114934024</v>
      </c>
      <c r="K66" s="126">
        <v>304</v>
      </c>
      <c r="L66" s="130">
        <v>572440937</v>
      </c>
      <c r="M66" s="131">
        <f>J66/G66</f>
        <v>0.21648046564156023</v>
      </c>
      <c r="N66" s="132"/>
      <c r="O66" s="133" t="s">
        <v>302</v>
      </c>
    </row>
    <row r="67" spans="1:16" s="135" customFormat="1">
      <c r="A67" s="134" t="s">
        <v>303</v>
      </c>
      <c r="F67" s="136"/>
      <c r="G67" s="137">
        <f t="shared" si="4"/>
        <v>0</v>
      </c>
      <c r="H67" s="138" t="e">
        <f t="shared" si="3"/>
        <v>#DIV/0!</v>
      </c>
      <c r="I67" s="139"/>
      <c r="J67" s="136"/>
      <c r="K67" s="140"/>
      <c r="L67" s="140">
        <v>1024273956</v>
      </c>
      <c r="M67" s="117" t="e">
        <f>J67/G67</f>
        <v>#DIV/0!</v>
      </c>
      <c r="N67" s="118"/>
    </row>
    <row r="68" spans="1:16" s="133" customFormat="1">
      <c r="A68" s="144" t="s">
        <v>304</v>
      </c>
      <c r="B68" s="126" t="s">
        <v>276</v>
      </c>
      <c r="C68" s="88" t="s">
        <v>280</v>
      </c>
      <c r="D68" s="88"/>
      <c r="E68" s="88"/>
      <c r="F68" s="119">
        <v>86373356</v>
      </c>
      <c r="G68" s="128">
        <f t="shared" si="4"/>
        <v>45704</v>
      </c>
      <c r="H68" s="129">
        <f>G68/F68</f>
        <v>5.2914465891541827E-4</v>
      </c>
      <c r="I68" s="119">
        <v>36465</v>
      </c>
      <c r="J68" s="119">
        <v>9239</v>
      </c>
      <c r="K68" s="145">
        <v>2</v>
      </c>
      <c r="L68" s="130">
        <v>140190</v>
      </c>
      <c r="M68" s="131">
        <f>J68/G68</f>
        <v>0.2021486084368983</v>
      </c>
      <c r="N68" s="132"/>
      <c r="O68" s="96" t="s">
        <v>305</v>
      </c>
      <c r="P68" s="146"/>
    </row>
    <row r="69" spans="1:16" s="135" customFormat="1">
      <c r="A69" s="147" t="s">
        <v>306</v>
      </c>
      <c r="F69" s="148"/>
      <c r="G69" s="137"/>
      <c r="H69" s="138" t="e">
        <f>G69/F69</f>
        <v>#DIV/0!</v>
      </c>
      <c r="I69" s="148"/>
      <c r="J69" s="148"/>
      <c r="K69" s="140"/>
      <c r="L69" s="140"/>
    </row>
    <row r="70" spans="1:16" s="154" customFormat="1">
      <c r="A70" s="149" t="s">
        <v>307</v>
      </c>
      <c r="B70" s="149"/>
      <c r="C70" s="149"/>
      <c r="D70" s="149"/>
      <c r="E70" s="149"/>
      <c r="F70" s="150">
        <f t="shared" ref="F70:K70" si="5">SUM(F53:F68)</f>
        <v>79018683431</v>
      </c>
      <c r="G70" s="150">
        <f t="shared" si="5"/>
        <v>1801131844</v>
      </c>
      <c r="H70" s="151"/>
      <c r="I70" s="152">
        <f t="shared" si="5"/>
        <v>1554513651</v>
      </c>
      <c r="J70" s="150">
        <f t="shared" si="5"/>
        <v>138188760</v>
      </c>
      <c r="K70" s="150">
        <f t="shared" si="5"/>
        <v>12397</v>
      </c>
      <c r="L70" s="152">
        <f>SUM(L53:L68)</f>
        <v>2946029663</v>
      </c>
      <c r="M70" s="153">
        <f>J70/I70</f>
        <v>8.889517304084453E-2</v>
      </c>
      <c r="N70" s="152"/>
      <c r="O70" s="92"/>
      <c r="P70" s="92"/>
    </row>
    <row r="71" spans="1:16">
      <c r="J71" s="88">
        <f>J70*M71/M70</f>
        <v>326447866.70999998</v>
      </c>
      <c r="M71" s="156">
        <v>0.21</v>
      </c>
    </row>
    <row r="72" spans="1:16">
      <c r="J72" s="157">
        <f>J71-J70</f>
        <v>188259106.70999998</v>
      </c>
    </row>
    <row r="73" spans="1:16">
      <c r="F73" s="88">
        <f>0.13*F59</f>
        <v>5699236895.4300003</v>
      </c>
      <c r="J73" s="158">
        <f>J70*M73/M70</f>
        <v>419718685.77000004</v>
      </c>
      <c r="M73" s="156">
        <v>0.27</v>
      </c>
    </row>
    <row r="74" spans="1:16">
      <c r="J74" s="158">
        <f>J73-J70</f>
        <v>281529925.77000004</v>
      </c>
    </row>
  </sheetData>
  <autoFilter ref="A1:O74"/>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8"/>
  <sheetViews>
    <sheetView topLeftCell="E11" zoomScaleNormal="100" workbookViewId="0">
      <selection activeCell="L28" sqref="L28"/>
    </sheetView>
  </sheetViews>
  <sheetFormatPr baseColWidth="10" defaultColWidth="8.6640625" defaultRowHeight="14.4"/>
  <cols>
    <col min="1" max="1" width="34" customWidth="1"/>
    <col min="2" max="6" width="20.44140625" customWidth="1"/>
    <col min="7" max="7" width="12.33203125" bestFit="1" customWidth="1"/>
    <col min="8" max="8" width="12.44140625" customWidth="1"/>
    <col min="9" max="9" width="29.88671875" customWidth="1"/>
    <col min="10" max="14" width="12.5546875" customWidth="1"/>
  </cols>
  <sheetData>
    <row r="1" spans="1:9" ht="15" customHeight="1">
      <c r="A1" s="1" t="s">
        <v>24</v>
      </c>
      <c r="B1">
        <v>2015</v>
      </c>
      <c r="C1" s="2" t="s">
        <v>0</v>
      </c>
      <c r="D1" s="2" t="s">
        <v>1</v>
      </c>
      <c r="E1" s="2" t="s">
        <v>2</v>
      </c>
      <c r="F1" s="2" t="s">
        <v>3</v>
      </c>
      <c r="G1" s="2" t="s">
        <v>4</v>
      </c>
      <c r="H1">
        <v>2021</v>
      </c>
      <c r="I1">
        <v>2022</v>
      </c>
    </row>
    <row r="2" spans="1:9" ht="15" customHeight="1">
      <c r="A2" s="3" t="s">
        <v>5</v>
      </c>
      <c r="B2">
        <v>6779511000</v>
      </c>
      <c r="C2" s="4">
        <v>8830669000</v>
      </c>
      <c r="D2" s="4">
        <v>11692713000</v>
      </c>
      <c r="E2" s="4">
        <v>15794341000</v>
      </c>
      <c r="F2" s="4">
        <v>20156447000</v>
      </c>
      <c r="G2" s="4">
        <v>24996056000</v>
      </c>
      <c r="H2" t="s">
        <v>1064</v>
      </c>
      <c r="I2" s="4">
        <v>31615550</v>
      </c>
    </row>
    <row r="3" spans="1:9" ht="15" customHeight="1">
      <c r="A3" s="8" t="s">
        <v>10</v>
      </c>
      <c r="B3">
        <v>141885000</v>
      </c>
      <c r="C3" s="4">
        <f>SUM(C4:C5)</f>
        <v>260507000</v>
      </c>
      <c r="D3" s="4">
        <f>SUM(D4:D5)</f>
        <v>485321000</v>
      </c>
      <c r="E3" s="4">
        <v>1226458000</v>
      </c>
      <c r="F3" s="4">
        <v>2062231000</v>
      </c>
      <c r="G3" s="4">
        <v>3199349000</v>
      </c>
      <c r="H3" t="s">
        <v>1065</v>
      </c>
      <c r="I3" s="4">
        <v>5263929</v>
      </c>
    </row>
    <row r="4" spans="1:9" ht="15" customHeight="1">
      <c r="A4" s="8" t="s">
        <v>11</v>
      </c>
      <c r="C4" s="21">
        <v>188078000</v>
      </c>
      <c r="D4" s="21">
        <v>144100000</v>
      </c>
      <c r="E4" s="21">
        <v>845402000</v>
      </c>
      <c r="F4" s="21">
        <v>1719326000</v>
      </c>
      <c r="G4" s="21">
        <v>2789064000</v>
      </c>
    </row>
    <row r="5" spans="1:9" ht="15" customHeight="1">
      <c r="A5" s="8" t="s">
        <v>12</v>
      </c>
      <c r="C5" s="21">
        <v>72429000</v>
      </c>
      <c r="D5" s="21">
        <v>341221000</v>
      </c>
      <c r="E5" s="21">
        <v>381056000</v>
      </c>
      <c r="F5" s="21">
        <v>342905000</v>
      </c>
      <c r="G5" s="21">
        <v>410285000</v>
      </c>
    </row>
    <row r="6" spans="1:9" ht="15" customHeight="1">
      <c r="A6" s="8" t="s">
        <v>13</v>
      </c>
      <c r="B6">
        <v>19244000</v>
      </c>
      <c r="C6" s="21">
        <f>SUM(C7,C10)</f>
        <v>73865000</v>
      </c>
      <c r="D6" s="21">
        <f>SUM(D7,D10)</f>
        <v>-73608000</v>
      </c>
      <c r="E6" s="21">
        <v>15216000</v>
      </c>
      <c r="F6" s="21">
        <v>195315000</v>
      </c>
      <c r="G6" s="21">
        <v>437954000</v>
      </c>
      <c r="H6">
        <v>723.875</v>
      </c>
      <c r="I6">
        <v>772.005</v>
      </c>
    </row>
    <row r="7" spans="1:9" ht="15" customHeight="1">
      <c r="A7" s="8" t="s">
        <v>11</v>
      </c>
      <c r="C7" s="21">
        <f>SUM(C8:C9)</f>
        <v>21642000</v>
      </c>
      <c r="D7" s="21">
        <f>SUM(D8:D9)</f>
        <v>-160014000</v>
      </c>
      <c r="E7" s="21">
        <f>SUM(E8:E9)</f>
        <v>-122197000</v>
      </c>
      <c r="F7" s="21">
        <f>SUM(F8:F9)</f>
        <v>-15784000</v>
      </c>
      <c r="G7" s="21">
        <f>SUM(G8:G9)</f>
        <v>196845000</v>
      </c>
    </row>
    <row r="8" spans="1:9" ht="15" customHeight="1">
      <c r="A8" s="8" t="s">
        <v>14</v>
      </c>
      <c r="C8" s="21">
        <f>(54315+5790)*1000</f>
        <v>60105000</v>
      </c>
      <c r="D8" s="21">
        <f>(54245-7601)*1000</f>
        <v>46644000</v>
      </c>
      <c r="E8" s="21">
        <f>(-22176-10234)*1000</f>
        <v>-32410000</v>
      </c>
      <c r="F8" s="21">
        <f>(21498+45228)*1000</f>
        <v>66726000</v>
      </c>
      <c r="G8" s="21">
        <f>(24221+65821)*1000</f>
        <v>90042000</v>
      </c>
    </row>
    <row r="9" spans="1:9" ht="15" customHeight="1">
      <c r="A9" s="8" t="s">
        <v>15</v>
      </c>
      <c r="C9" s="21">
        <f>(-24383-14080)*1000</f>
        <v>-38463000</v>
      </c>
      <c r="D9" s="21">
        <f>(-153963-52695)*1000</f>
        <v>-206658000</v>
      </c>
      <c r="E9" s="21">
        <f>(-37396-52391)*1000</f>
        <v>-89787000</v>
      </c>
      <c r="F9" s="21">
        <f>(-28003-54507)*1000</f>
        <v>-82510000</v>
      </c>
      <c r="G9" s="21">
        <f>(-57765+164568)*1000</f>
        <v>106803000</v>
      </c>
    </row>
    <row r="10" spans="1:9" ht="15" customHeight="1">
      <c r="A10" s="8" t="s">
        <v>12</v>
      </c>
      <c r="C10" s="21">
        <f>SUM(C11:C12)</f>
        <v>52223000</v>
      </c>
      <c r="D10" s="21">
        <f>SUM(D11:D12)</f>
        <v>86406000</v>
      </c>
      <c r="E10" s="21">
        <f>SUM(E11:E12)</f>
        <v>137413000</v>
      </c>
      <c r="F10" s="21">
        <f>SUM(F11:F12)</f>
        <v>211099000</v>
      </c>
      <c r="G10" s="21">
        <f>SUM(G11:G12)</f>
        <v>240992000</v>
      </c>
    </row>
    <row r="11" spans="1:9" ht="15" customHeight="1">
      <c r="A11" s="8" t="s">
        <v>14</v>
      </c>
      <c r="C11" s="21">
        <v>60571000</v>
      </c>
      <c r="D11" s="21">
        <v>88436000</v>
      </c>
      <c r="E11" s="21">
        <v>133146000</v>
      </c>
      <c r="F11" s="21">
        <v>223328000</v>
      </c>
      <c r="G11" s="21">
        <v>277846000</v>
      </c>
    </row>
    <row r="12" spans="1:9" ht="15" customHeight="1">
      <c r="A12" s="8" t="s">
        <v>15</v>
      </c>
      <c r="C12" s="21">
        <v>-8348000</v>
      </c>
      <c r="D12" s="21">
        <v>-2030000</v>
      </c>
      <c r="E12" s="21">
        <v>4267000</v>
      </c>
      <c r="F12" s="21">
        <v>-12229000</v>
      </c>
      <c r="G12" s="21">
        <v>-36854000</v>
      </c>
    </row>
    <row r="13" spans="1:9" ht="15" customHeight="1">
      <c r="A13" s="8" t="s">
        <v>117</v>
      </c>
      <c r="C13" s="9"/>
      <c r="D13" s="9"/>
      <c r="E13" s="9"/>
      <c r="F13" s="9"/>
      <c r="G13" s="9"/>
      <c r="I13">
        <f>0.19*150</f>
        <v>28.5</v>
      </c>
    </row>
    <row r="14" spans="1:9" ht="15" customHeight="1">
      <c r="A14" s="10" t="s">
        <v>32</v>
      </c>
      <c r="C14" s="5">
        <v>4700</v>
      </c>
      <c r="D14" s="5">
        <v>5500</v>
      </c>
      <c r="E14" s="5">
        <v>7100</v>
      </c>
      <c r="F14" s="5">
        <v>8600</v>
      </c>
      <c r="G14" s="5">
        <v>9400</v>
      </c>
    </row>
    <row r="15" spans="1:9" ht="15" customHeight="1">
      <c r="A15" s="8" t="s">
        <v>25</v>
      </c>
      <c r="C15" s="5">
        <v>89090</v>
      </c>
      <c r="D15" s="5">
        <v>110644</v>
      </c>
      <c r="E15" s="5">
        <v>139259</v>
      </c>
      <c r="F15" s="5">
        <v>167090</v>
      </c>
      <c r="G15" s="5">
        <v>203663</v>
      </c>
    </row>
    <row r="16" spans="1:9" ht="15" customHeight="1">
      <c r="A16" s="7" t="s">
        <v>27</v>
      </c>
      <c r="C16" s="17">
        <f>D16/L23*K23</f>
        <v>3556.7910028347915</v>
      </c>
      <c r="D16" s="17">
        <f>E16/M23*L23</f>
        <v>4417.3036672763801</v>
      </c>
      <c r="E16" s="17">
        <f>F16/N23*M23</f>
        <v>6424.1497496176798</v>
      </c>
      <c r="F16" s="17">
        <f>G16/O23*N23</f>
        <v>8795.5371975171674</v>
      </c>
      <c r="G16" s="42">
        <v>11330</v>
      </c>
    </row>
    <row r="17" spans="1:15" ht="15" customHeight="1">
      <c r="A17" s="8" t="s">
        <v>9</v>
      </c>
      <c r="C17" s="43">
        <f>C16/K23*K20/C2</f>
        <v>3.4326629310097084E-2</v>
      </c>
      <c r="D17" s="43">
        <f>D16/L23*L20/D2</f>
        <v>3.4326629310097084E-2</v>
      </c>
      <c r="E17" s="43">
        <f>E16/M23*M20/E2</f>
        <v>4.2630176614726671E-2</v>
      </c>
      <c r="F17" s="43">
        <f>F16/N23*N20/F2</f>
        <v>4.6714665727475999E-2</v>
      </c>
      <c r="G17" s="44">
        <f>G16/O23*O20/G2</f>
        <v>5.2819280720189703E-2</v>
      </c>
    </row>
    <row r="18" spans="1:15" ht="15" customHeight="1">
      <c r="A18" s="59" t="s">
        <v>98</v>
      </c>
      <c r="B18" s="23"/>
      <c r="C18" s="23"/>
      <c r="D18" s="23">
        <v>2018</v>
      </c>
      <c r="E18" s="23">
        <v>2019</v>
      </c>
      <c r="F18" s="23">
        <v>2020</v>
      </c>
    </row>
    <row r="19" spans="1:15" ht="15" customHeight="1">
      <c r="A19" s="3" t="s">
        <v>5</v>
      </c>
      <c r="B19" s="4"/>
      <c r="C19" s="4"/>
      <c r="D19" s="4">
        <v>5500</v>
      </c>
      <c r="E19" s="4">
        <v>9468</v>
      </c>
      <c r="F19" s="4">
        <v>12545</v>
      </c>
      <c r="O19">
        <v>2020</v>
      </c>
    </row>
    <row r="20" spans="1:15" ht="15" customHeight="1">
      <c r="A20" s="3" t="s">
        <v>23</v>
      </c>
      <c r="B20" s="4"/>
      <c r="C20" s="4"/>
      <c r="D20" s="4">
        <v>151</v>
      </c>
      <c r="E20" s="4">
        <v>266</v>
      </c>
      <c r="F20" s="4">
        <v>372</v>
      </c>
      <c r="I20" s="10" t="s">
        <v>6</v>
      </c>
      <c r="J20" s="40">
        <f>K20/C2*B2</f>
        <v>1369974335.6775284</v>
      </c>
      <c r="K20" s="40">
        <f>L20/D2*C2</f>
        <v>1784463495.5033104</v>
      </c>
      <c r="L20" s="4">
        <v>2362813000</v>
      </c>
      <c r="M20" s="4">
        <v>3963707000</v>
      </c>
      <c r="N20" s="4">
        <v>5543067000</v>
      </c>
      <c r="O20" s="4">
        <v>7772252000</v>
      </c>
    </row>
    <row r="21" spans="1:15" ht="15" customHeight="1">
      <c r="A21" s="3" t="s">
        <v>13</v>
      </c>
      <c r="B21" s="19"/>
      <c r="C21" s="19"/>
      <c r="D21" s="19">
        <v>91610000</v>
      </c>
      <c r="E21" s="4">
        <v>92</v>
      </c>
      <c r="F21" s="4">
        <v>96</v>
      </c>
      <c r="I21" s="10" t="s">
        <v>7</v>
      </c>
      <c r="J21" s="10"/>
      <c r="K21" s="19" t="s">
        <v>96</v>
      </c>
      <c r="L21" s="14">
        <v>9.17</v>
      </c>
      <c r="M21" s="14">
        <v>10.45</v>
      </c>
      <c r="N21" s="14">
        <v>10.33</v>
      </c>
      <c r="O21" s="14">
        <v>10.72</v>
      </c>
    </row>
    <row r="22" spans="1:15" ht="15" customHeight="1">
      <c r="A22" s="34" t="s">
        <v>14</v>
      </c>
      <c r="B22" s="19"/>
      <c r="C22" s="19"/>
      <c r="D22" s="19"/>
      <c r="E22" s="4"/>
      <c r="F22" s="4"/>
      <c r="I22" s="8" t="s">
        <v>25</v>
      </c>
      <c r="J22" s="8">
        <v>70839</v>
      </c>
      <c r="K22" s="5">
        <v>89090</v>
      </c>
      <c r="L22" s="5">
        <v>110644</v>
      </c>
      <c r="M22" s="5">
        <v>139259</v>
      </c>
      <c r="N22" s="5">
        <v>167090</v>
      </c>
      <c r="O22" s="5">
        <v>203663</v>
      </c>
    </row>
    <row r="23" spans="1:15" ht="15" customHeight="1">
      <c r="A23" s="34" t="s">
        <v>15</v>
      </c>
      <c r="B23" s="19"/>
      <c r="C23" s="19"/>
      <c r="D23" s="19"/>
      <c r="E23" s="4"/>
      <c r="F23" s="4"/>
      <c r="I23" s="8" t="s">
        <v>26</v>
      </c>
      <c r="J23" s="41">
        <f>K23/K22*J22</f>
        <v>16648.868045262283</v>
      </c>
      <c r="K23" s="41">
        <f>L23/L22*K22</f>
        <v>20938.291818806261</v>
      </c>
      <c r="L23" s="5">
        <v>26004</v>
      </c>
      <c r="M23" s="5">
        <v>37818</v>
      </c>
      <c r="N23" s="5">
        <v>51778</v>
      </c>
      <c r="O23" s="5">
        <v>66698</v>
      </c>
    </row>
    <row r="24" spans="1:15" ht="15" customHeight="1">
      <c r="A24" s="7" t="s">
        <v>21</v>
      </c>
      <c r="B24" s="20"/>
      <c r="C24" s="20"/>
      <c r="D24" s="20"/>
      <c r="E24" s="12">
        <f>(-E21)/E20</f>
        <v>-0.34586466165413532</v>
      </c>
      <c r="F24" s="12">
        <f>(-F21)/F20</f>
        <v>-0.25806451612903225</v>
      </c>
      <c r="K24">
        <f>(K23*0.75)/K22</f>
        <v>0.17626803080148945</v>
      </c>
      <c r="L24">
        <f t="shared" ref="L24:O24" si="0">(L23*0.75)/L22</f>
        <v>0.17626803080148945</v>
      </c>
      <c r="M24">
        <f t="shared" si="0"/>
        <v>0.20367444833008996</v>
      </c>
      <c r="N24">
        <f t="shared" si="0"/>
        <v>0.23241067688072298</v>
      </c>
      <c r="O24">
        <f t="shared" si="0"/>
        <v>0.24561898823055733</v>
      </c>
    </row>
    <row r="25" spans="1:15" ht="15" customHeight="1">
      <c r="A25" t="s">
        <v>22</v>
      </c>
      <c r="E25" s="4">
        <v>1071</v>
      </c>
      <c r="F25" s="4">
        <v>1300</v>
      </c>
      <c r="K25">
        <f>0.75*K20</f>
        <v>1338347621.6274829</v>
      </c>
      <c r="L25">
        <f t="shared" ref="L25:O25" si="1">0.75*L20</f>
        <v>1772109750</v>
      </c>
      <c r="M25">
        <f t="shared" si="1"/>
        <v>2972780250</v>
      </c>
      <c r="N25">
        <f t="shared" si="1"/>
        <v>4157300250</v>
      </c>
      <c r="O25">
        <f t="shared" si="1"/>
        <v>5829189000</v>
      </c>
    </row>
    <row r="26" spans="1:15" ht="15" customHeight="1">
      <c r="A26" s="2" t="s">
        <v>18</v>
      </c>
      <c r="B26" s="23"/>
      <c r="C26" s="23"/>
      <c r="D26" s="23">
        <v>2018</v>
      </c>
      <c r="E26" s="23">
        <v>2019</v>
      </c>
      <c r="F26" s="23">
        <v>2020</v>
      </c>
    </row>
    <row r="27" spans="1:15" ht="15" customHeight="1">
      <c r="A27" s="3" t="s">
        <v>5</v>
      </c>
      <c r="B27" s="14"/>
      <c r="C27" s="14"/>
      <c r="D27" s="14"/>
      <c r="E27" s="24" t="s">
        <v>96</v>
      </c>
      <c r="F27" s="46"/>
      <c r="J27">
        <f>2000000*10*12*5*0.75</f>
        <v>900000000</v>
      </c>
    </row>
    <row r="28" spans="1:15" ht="15" customHeight="1">
      <c r="A28" s="7" t="s">
        <v>19</v>
      </c>
      <c r="B28" s="14"/>
      <c r="C28" s="5">
        <v>20702</v>
      </c>
      <c r="D28" s="5">
        <v>26376</v>
      </c>
      <c r="E28" s="14">
        <v>513755</v>
      </c>
      <c r="F28" s="47" t="e">
        <f>#REF!*E28/#REF!</f>
        <v>#REF!</v>
      </c>
      <c r="J28">
        <f>55800000/J27</f>
        <v>6.2E-2</v>
      </c>
      <c r="L28">
        <f>0.06*SUM(J25:N25)</f>
        <v>614432272.29764903</v>
      </c>
    </row>
    <row r="29" spans="1:15" ht="15" customHeight="1">
      <c r="A29" s="8" t="s">
        <v>20</v>
      </c>
      <c r="B29" s="14"/>
      <c r="C29" s="48">
        <f>0.3*C28</f>
        <v>6210.5999999999995</v>
      </c>
      <c r="D29" s="48">
        <f>0.3*D28</f>
        <v>7912.7999999999993</v>
      </c>
      <c r="E29" s="48">
        <f>0.3*E28</f>
        <v>154126.5</v>
      </c>
      <c r="F29" s="47" t="e">
        <f>F30*F28</f>
        <v>#REF!</v>
      </c>
    </row>
    <row r="30" spans="1:15" ht="15" customHeight="1">
      <c r="A30" s="7" t="s">
        <v>21</v>
      </c>
      <c r="B30" s="12"/>
      <c r="C30" s="12"/>
      <c r="D30" s="12">
        <f>D29/D28</f>
        <v>0.3</v>
      </c>
      <c r="E30" s="12">
        <f>E29/E28</f>
        <v>0.3</v>
      </c>
      <c r="F30" s="49">
        <f>E30</f>
        <v>0.3</v>
      </c>
    </row>
    <row r="31" spans="1:15" ht="15" customHeight="1">
      <c r="A31" s="3" t="s">
        <v>22</v>
      </c>
      <c r="B31" s="5"/>
      <c r="C31" s="5"/>
      <c r="D31" s="5"/>
      <c r="E31" s="5">
        <v>9</v>
      </c>
      <c r="F31" s="17">
        <v>12</v>
      </c>
    </row>
    <row r="32" spans="1:15" ht="15" customHeight="1">
      <c r="F32" s="50"/>
    </row>
    <row r="33" spans="1:9" ht="15" customHeight="1">
      <c r="E33" s="3"/>
      <c r="F33" s="14"/>
    </row>
    <row r="34" spans="1:9" ht="15" customHeight="1">
      <c r="E34" s="3"/>
      <c r="F34" s="14"/>
      <c r="H34" s="4"/>
    </row>
    <row r="35" spans="1:9" ht="15" customHeight="1">
      <c r="E35" s="3"/>
      <c r="F35" s="14"/>
      <c r="H35" s="4"/>
    </row>
    <row r="36" spans="1:9" ht="15" customHeight="1">
      <c r="E36" s="3"/>
      <c r="F36" s="14"/>
      <c r="H36" s="4"/>
    </row>
    <row r="37" spans="1:9" ht="15" customHeight="1">
      <c r="E37" s="3"/>
      <c r="F37" s="14"/>
    </row>
    <row r="38" spans="1:9" ht="15" customHeight="1">
      <c r="E38" s="3"/>
      <c r="F38" s="14"/>
    </row>
    <row r="39" spans="1:9" ht="15" customHeight="1">
      <c r="E39" s="3"/>
      <c r="F39" s="14"/>
    </row>
    <row r="40" spans="1:9" ht="24.45" customHeight="1">
      <c r="E40" s="3"/>
      <c r="F40" s="14"/>
    </row>
    <row r="41" spans="1:9" ht="15" customHeight="1">
      <c r="E41" s="3"/>
      <c r="F41" s="14"/>
    </row>
    <row r="42" spans="1:9" ht="15" customHeight="1">
      <c r="A42" s="37"/>
      <c r="B42" s="38"/>
      <c r="C42" s="38"/>
      <c r="D42" s="38"/>
      <c r="E42" s="38"/>
      <c r="F42" s="39"/>
      <c r="H42" s="10"/>
      <c r="I42" s="11"/>
    </row>
    <row r="43" spans="1:9" ht="15" customHeight="1">
      <c r="A43" s="39"/>
      <c r="B43" s="4"/>
      <c r="C43" s="4"/>
      <c r="D43" s="4"/>
      <c r="E43" s="4"/>
      <c r="F43" s="4"/>
      <c r="H43" s="10"/>
      <c r="I43" s="11"/>
    </row>
    <row r="44" spans="1:9" ht="15" customHeight="1">
      <c r="A44" s="32"/>
      <c r="B44" s="4"/>
      <c r="C44" s="4"/>
      <c r="D44" s="4"/>
      <c r="E44" s="4"/>
      <c r="F44" s="4"/>
    </row>
    <row r="45" spans="1:9" ht="15" customHeight="1">
      <c r="A45" s="32"/>
      <c r="B45" s="4"/>
      <c r="C45" s="4"/>
      <c r="D45" s="4"/>
      <c r="E45" s="4"/>
      <c r="F45" s="4"/>
    </row>
    <row r="46" spans="1:9" ht="15" customHeight="1">
      <c r="A46" s="7"/>
      <c r="B46" s="20"/>
      <c r="C46" s="20"/>
      <c r="D46" s="20"/>
      <c r="E46" s="12"/>
      <c r="F46" s="12"/>
    </row>
    <row r="47" spans="1:9" ht="15" customHeight="1">
      <c r="A47" s="32"/>
    </row>
    <row r="48" spans="1:9" ht="15" customHeight="1"/>
    <row r="49" spans="7:8" ht="15" customHeight="1"/>
    <row r="50" spans="7:8" ht="15" customHeight="1"/>
    <row r="51" spans="7:8" ht="15" customHeight="1"/>
    <row r="52" spans="7:8" ht="15" customHeight="1"/>
    <row r="53" spans="7:8" ht="15" customHeight="1"/>
    <row r="54" spans="7:8" ht="15" customHeight="1"/>
    <row r="55" spans="7:8" ht="15" customHeight="1"/>
    <row r="56" spans="7:8" ht="15" customHeight="1"/>
    <row r="57" spans="7:8" ht="15" customHeight="1"/>
    <row r="58" spans="7:8" ht="15" customHeight="1"/>
    <row r="59" spans="7:8" ht="15" customHeight="1"/>
    <row r="60" spans="7:8" ht="15" customHeight="1"/>
    <row r="61" spans="7:8" ht="15" customHeight="1"/>
    <row r="62" spans="7:8" ht="15" customHeight="1"/>
    <row r="63" spans="7:8" ht="15" customHeight="1">
      <c r="G63" s="29" t="s">
        <v>97</v>
      </c>
      <c r="H63" s="45"/>
    </row>
    <row r="64" spans="7: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sheetData>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72"/>
  <sheetViews>
    <sheetView topLeftCell="M38" zoomScale="116" workbookViewId="0">
      <selection activeCell="F24" sqref="F24"/>
    </sheetView>
  </sheetViews>
  <sheetFormatPr baseColWidth="10" defaultRowHeight="14.4"/>
  <cols>
    <col min="2" max="2" width="18.6640625" customWidth="1"/>
    <col min="7" max="7" width="12.5546875" bestFit="1" customWidth="1"/>
    <col min="33" max="33" width="11.88671875" bestFit="1" customWidth="1"/>
  </cols>
  <sheetData>
    <row r="1" spans="1:38">
      <c r="A1" s="2">
        <v>2021</v>
      </c>
      <c r="B1" t="s">
        <v>357</v>
      </c>
      <c r="C1" t="s">
        <v>82</v>
      </c>
      <c r="D1" t="s">
        <v>356</v>
      </c>
      <c r="E1" t="s">
        <v>362</v>
      </c>
      <c r="F1">
        <v>7.4386999999999999</v>
      </c>
      <c r="K1" s="60" t="s">
        <v>107</v>
      </c>
      <c r="L1">
        <v>2022</v>
      </c>
      <c r="M1">
        <v>2021</v>
      </c>
      <c r="N1">
        <v>2020</v>
      </c>
      <c r="O1">
        <v>2019</v>
      </c>
      <c r="P1">
        <v>2018</v>
      </c>
      <c r="Q1">
        <v>2017</v>
      </c>
      <c r="R1">
        <v>2016</v>
      </c>
      <c r="S1">
        <v>2015</v>
      </c>
      <c r="T1">
        <v>2014</v>
      </c>
      <c r="U1">
        <v>2013</v>
      </c>
      <c r="V1">
        <v>2012</v>
      </c>
      <c r="X1">
        <v>2011</v>
      </c>
      <c r="Y1">
        <v>2010</v>
      </c>
      <c r="Z1">
        <v>2009</v>
      </c>
      <c r="AA1">
        <v>2008</v>
      </c>
      <c r="AB1">
        <v>2007</v>
      </c>
      <c r="AC1">
        <v>2006</v>
      </c>
      <c r="AD1">
        <v>2005</v>
      </c>
      <c r="AE1">
        <v>2004</v>
      </c>
      <c r="AF1" t="s">
        <v>1022</v>
      </c>
    </row>
    <row r="2" spans="1:38">
      <c r="A2" s="58" t="s">
        <v>5</v>
      </c>
      <c r="B2" s="4">
        <v>302242168</v>
      </c>
      <c r="C2" s="4">
        <v>28844582</v>
      </c>
      <c r="D2" s="4">
        <v>22597106.41</v>
      </c>
      <c r="E2" s="4">
        <f>F2/$F$1</f>
        <v>1871462.6211569225</v>
      </c>
      <c r="F2" s="4">
        <v>13921249</v>
      </c>
      <c r="K2" s="60" t="s">
        <v>5</v>
      </c>
      <c r="L2">
        <v>17090</v>
      </c>
      <c r="M2">
        <v>10958</v>
      </c>
      <c r="N2">
        <v>6796</v>
      </c>
      <c r="O2">
        <v>15066</v>
      </c>
      <c r="P2">
        <v>14527</v>
      </c>
      <c r="Q2" s="60">
        <v>12681082</v>
      </c>
      <c r="R2">
        <v>10743006</v>
      </c>
      <c r="S2">
        <v>9223987</v>
      </c>
      <c r="T2" s="60">
        <v>8441971</v>
      </c>
      <c r="U2">
        <v>6793306</v>
      </c>
      <c r="V2" s="60">
        <v>5260956</v>
      </c>
      <c r="W2" s="60"/>
      <c r="X2">
        <v>4355610</v>
      </c>
      <c r="Y2">
        <v>3084905</v>
      </c>
      <c r="Z2">
        <v>2338212</v>
      </c>
      <c r="AA2">
        <v>1884806</v>
      </c>
      <c r="AB2">
        <v>1409409</v>
      </c>
      <c r="AC2">
        <v>1123103</v>
      </c>
      <c r="AD2">
        <v>962660</v>
      </c>
      <c r="AE2">
        <v>914372</v>
      </c>
    </row>
    <row r="3" spans="1:38">
      <c r="A3" s="58" t="s">
        <v>19</v>
      </c>
      <c r="B3" s="4">
        <v>13530481</v>
      </c>
      <c r="C3" s="4">
        <v>10487813</v>
      </c>
      <c r="D3" s="4">
        <f>6315934.24+D4</f>
        <v>9193901.7599999998</v>
      </c>
      <c r="E3" s="4">
        <f t="shared" ref="E3:E4" si="0">F3/$F$1</f>
        <v>816401.79063546052</v>
      </c>
      <c r="F3" s="4">
        <v>6072968</v>
      </c>
      <c r="K3" s="60" t="s">
        <v>75</v>
      </c>
      <c r="L3">
        <v>3923</v>
      </c>
      <c r="M3">
        <v>1465</v>
      </c>
      <c r="N3">
        <v>567</v>
      </c>
      <c r="O3">
        <v>5958</v>
      </c>
      <c r="P3">
        <v>4835</v>
      </c>
      <c r="Q3" s="60">
        <v>4398322</v>
      </c>
      <c r="R3">
        <v>2713238</v>
      </c>
      <c r="S3" s="185">
        <v>3128320</v>
      </c>
      <c r="T3" s="60">
        <v>2989448</v>
      </c>
      <c r="U3">
        <v>2296537</v>
      </c>
      <c r="V3" s="60">
        <v>1761869</v>
      </c>
      <c r="W3" s="60"/>
      <c r="X3">
        <v>1367794</v>
      </c>
      <c r="Y3">
        <v>746283</v>
      </c>
      <c r="Z3">
        <v>442302</v>
      </c>
      <c r="AA3">
        <v>276105</v>
      </c>
      <c r="AB3">
        <v>121861</v>
      </c>
      <c r="AC3">
        <v>65632</v>
      </c>
      <c r="AD3">
        <v>35703</v>
      </c>
      <c r="AE3">
        <v>31827</v>
      </c>
    </row>
    <row r="4" spans="1:38">
      <c r="A4" s="68" t="s">
        <v>13</v>
      </c>
      <c r="B4" s="4">
        <v>3646070</v>
      </c>
      <c r="C4" s="4">
        <v>2695645</v>
      </c>
      <c r="D4" s="4">
        <v>2877967.52</v>
      </c>
      <c r="E4" s="4">
        <f t="shared" si="0"/>
        <v>597440.0096791106</v>
      </c>
      <c r="F4" s="4">
        <v>4444177</v>
      </c>
      <c r="K4" s="60" t="s">
        <v>13</v>
      </c>
      <c r="L4">
        <v>865</v>
      </c>
      <c r="M4">
        <v>300</v>
      </c>
      <c r="N4">
        <v>508</v>
      </c>
      <c r="O4">
        <v>1093</v>
      </c>
      <c r="P4">
        <v>837</v>
      </c>
      <c r="Q4" s="60">
        <v>2057557</v>
      </c>
      <c r="R4">
        <v>578251</v>
      </c>
      <c r="S4">
        <v>57696</v>
      </c>
      <c r="T4" s="60">
        <v>567695</v>
      </c>
      <c r="U4">
        <v>40373</v>
      </c>
      <c r="V4" s="60">
        <v>337832</v>
      </c>
      <c r="W4" s="60"/>
      <c r="X4">
        <v>308663</v>
      </c>
      <c r="Y4">
        <v>218141</v>
      </c>
      <c r="Z4">
        <v>-47168</v>
      </c>
      <c r="AA4">
        <v>90171</v>
      </c>
      <c r="AB4">
        <v>-23537</v>
      </c>
      <c r="AC4">
        <v>-12388</v>
      </c>
      <c r="AD4">
        <v>-156277</v>
      </c>
      <c r="AE4">
        <v>-193</v>
      </c>
    </row>
    <row r="5" spans="1:38">
      <c r="A5" s="58" t="s">
        <v>21</v>
      </c>
      <c r="K5" s="60" t="s">
        <v>1021</v>
      </c>
      <c r="N5">
        <v>213</v>
      </c>
      <c r="O5">
        <v>122</v>
      </c>
      <c r="P5">
        <v>-150</v>
      </c>
      <c r="Q5" s="60">
        <v>-32465</v>
      </c>
      <c r="R5">
        <v>-111905</v>
      </c>
      <c r="S5">
        <v>-61335</v>
      </c>
      <c r="T5" s="60">
        <v>31707</v>
      </c>
      <c r="U5">
        <v>-11104</v>
      </c>
      <c r="V5" s="60">
        <v>19596</v>
      </c>
      <c r="W5" s="60"/>
      <c r="X5">
        <v>44747</v>
      </c>
      <c r="Y5">
        <v>3754</v>
      </c>
    </row>
    <row r="6" spans="1:38">
      <c r="A6" s="58" t="s">
        <v>353</v>
      </c>
      <c r="K6" s="60" t="s">
        <v>1030</v>
      </c>
      <c r="L6" s="57">
        <f>L7/L2</f>
        <v>0.78572264482153309</v>
      </c>
      <c r="M6" s="57">
        <f t="shared" ref="M6:AD6" si="1">M7/M2</f>
        <v>0.79193283445884288</v>
      </c>
      <c r="N6" s="57">
        <f t="shared" si="1"/>
        <v>0.77457327839905832</v>
      </c>
      <c r="O6" s="57">
        <f t="shared" si="1"/>
        <v>0.77565378999070755</v>
      </c>
      <c r="P6" s="57">
        <f t="shared" si="1"/>
        <v>0.76368142080264334</v>
      </c>
      <c r="Q6" s="57">
        <f t="shared" si="1"/>
        <v>0.75230173576671144</v>
      </c>
      <c r="R6" s="57">
        <f t="shared" si="1"/>
        <v>0.72447134442631789</v>
      </c>
      <c r="S6" s="57">
        <f t="shared" si="1"/>
        <v>0.67271517186656915</v>
      </c>
      <c r="T6" s="57">
        <f t="shared" si="1"/>
        <v>0.65378180048237555</v>
      </c>
      <c r="U6" s="57">
        <f t="shared" si="1"/>
        <v>0.60403476598875427</v>
      </c>
      <c r="V6" s="57">
        <f t="shared" si="1"/>
        <v>0.50864823807688186</v>
      </c>
      <c r="W6" s="57"/>
      <c r="X6" s="57">
        <f t="shared" si="1"/>
        <v>0.37626210794814047</v>
      </c>
      <c r="Y6" s="57">
        <f t="shared" si="1"/>
        <v>0.29712973333052395</v>
      </c>
      <c r="Z6" s="57">
        <f t="shared" si="1"/>
        <v>0.23881923452621062</v>
      </c>
      <c r="AA6" s="57">
        <f t="shared" si="1"/>
        <v>0.21552881304494997</v>
      </c>
      <c r="AB6" s="57">
        <f t="shared" si="1"/>
        <v>0.17204090508858677</v>
      </c>
      <c r="AC6" s="57">
        <f t="shared" si="1"/>
        <v>0.10516666770545534</v>
      </c>
      <c r="AD6" s="57">
        <f t="shared" si="1"/>
        <v>2.9274094695946648E-2</v>
      </c>
      <c r="AE6" s="57">
        <f>AE7/AE2</f>
        <v>0</v>
      </c>
    </row>
    <row r="7" spans="1:38">
      <c r="A7" s="67" t="s">
        <v>22</v>
      </c>
      <c r="B7">
        <v>158</v>
      </c>
      <c r="C7">
        <v>147</v>
      </c>
      <c r="D7">
        <v>107</v>
      </c>
      <c r="E7">
        <v>13</v>
      </c>
      <c r="K7" s="60" t="s">
        <v>822</v>
      </c>
      <c r="L7" s="4">
        <v>13428</v>
      </c>
      <c r="M7" s="4">
        <v>8678</v>
      </c>
      <c r="N7" s="4">
        <v>5264</v>
      </c>
      <c r="O7" s="4">
        <v>11686</v>
      </c>
      <c r="P7" s="4">
        <v>11094</v>
      </c>
      <c r="Q7" s="75">
        <v>9540000</v>
      </c>
      <c r="R7" s="4">
        <v>7783000</v>
      </c>
      <c r="S7" s="4">
        <v>6205116</v>
      </c>
      <c r="T7" s="75">
        <v>5519207</v>
      </c>
      <c r="U7" s="4">
        <v>4103393</v>
      </c>
      <c r="V7" s="75">
        <v>2675976</v>
      </c>
      <c r="W7" s="75"/>
      <c r="X7" s="4">
        <v>1638851</v>
      </c>
      <c r="Y7" s="4">
        <v>916617</v>
      </c>
      <c r="Z7" s="4">
        <v>558410</v>
      </c>
      <c r="AA7" s="4">
        <v>406230</v>
      </c>
      <c r="AB7" s="193">
        <v>242476</v>
      </c>
      <c r="AC7" s="194">
        <v>118113</v>
      </c>
      <c r="AD7" s="193">
        <v>28181</v>
      </c>
      <c r="AE7" s="4"/>
      <c r="AF7" s="195"/>
      <c r="AJ7">
        <v>16.2</v>
      </c>
      <c r="AK7">
        <v>0.155</v>
      </c>
      <c r="AL7">
        <f>AJ7-AL8</f>
        <v>4.0533333333333381</v>
      </c>
    </row>
    <row r="8" spans="1:38">
      <c r="A8" s="67" t="s">
        <v>354</v>
      </c>
      <c r="B8" t="s">
        <v>355</v>
      </c>
      <c r="K8" s="60" t="s">
        <v>1023</v>
      </c>
      <c r="L8" s="4">
        <f>L7*1000/L10</f>
        <v>12747294.475033227</v>
      </c>
      <c r="M8" s="4">
        <f>M7*1000/M10</f>
        <v>7336207.6253275843</v>
      </c>
      <c r="N8" s="4">
        <f>N7*1000/N10</f>
        <v>4609053.4979423871</v>
      </c>
      <c r="O8" s="4">
        <f>O7*1000/O10</f>
        <v>10437656.305823509</v>
      </c>
      <c r="P8" s="4">
        <f>P7*1000/P10</f>
        <v>9393734.1236240473</v>
      </c>
      <c r="Q8" s="4">
        <f t="shared" ref="Q8:AD8" si="2">Q7/Q10</f>
        <v>8444719.8371249009</v>
      </c>
      <c r="R8" s="4">
        <f t="shared" si="2"/>
        <v>7031348.8119974704</v>
      </c>
      <c r="S8" s="4">
        <f t="shared" si="2"/>
        <v>5590698.2611046033</v>
      </c>
      <c r="T8" s="4">
        <f t="shared" si="2"/>
        <v>4153839.8434560099</v>
      </c>
      <c r="U8" s="4">
        <f t="shared" si="2"/>
        <v>3089671.7114675096</v>
      </c>
      <c r="V8" s="4">
        <f t="shared" si="2"/>
        <v>2082795.7658779577</v>
      </c>
      <c r="W8" s="4"/>
      <c r="X8" s="4">
        <f t="shared" si="2"/>
        <v>1177589.2792986995</v>
      </c>
      <c r="Y8" s="4">
        <f t="shared" si="2"/>
        <v>691160.45845272206</v>
      </c>
      <c r="Z8" s="4">
        <f t="shared" si="2"/>
        <v>400351.30484657298</v>
      </c>
      <c r="AA8" s="4">
        <f t="shared" si="2"/>
        <v>276196.62768561323</v>
      </c>
      <c r="AB8" s="4">
        <f t="shared" si="2"/>
        <v>176925.20977745348</v>
      </c>
      <c r="AC8" s="4">
        <f t="shared" si="2"/>
        <v>94068.97100987575</v>
      </c>
      <c r="AD8" s="4">
        <f t="shared" si="2"/>
        <v>22644.435516271595</v>
      </c>
      <c r="AE8" s="4"/>
      <c r="AF8" s="4">
        <f>SUM(L8:AD8)</f>
        <v>77755956.545366406</v>
      </c>
      <c r="AJ8">
        <v>1.6</v>
      </c>
      <c r="AK8">
        <v>0.08</v>
      </c>
      <c r="AL8">
        <f>(AJ8-AJ7*AK7)/(-AK7+AK8)</f>
        <v>12.146666666666661</v>
      </c>
    </row>
    <row r="9" spans="1:38">
      <c r="K9" s="60" t="s">
        <v>16</v>
      </c>
      <c r="L9" s="57">
        <f>L4/L3</f>
        <v>0.22049451950038235</v>
      </c>
      <c r="M9" s="57">
        <f t="shared" ref="M9:AE9" si="3">M4/M3</f>
        <v>0.20477815699658702</v>
      </c>
      <c r="N9" s="57">
        <f t="shared" si="3"/>
        <v>0.89594356261022923</v>
      </c>
      <c r="O9" s="57">
        <f t="shared" si="3"/>
        <v>0.18345082242363209</v>
      </c>
      <c r="P9" s="57">
        <f t="shared" si="3"/>
        <v>0.17311271975180972</v>
      </c>
      <c r="Q9" s="57">
        <f t="shared" si="3"/>
        <v>0.46780499472298753</v>
      </c>
      <c r="R9" s="57">
        <f t="shared" si="3"/>
        <v>0.21312210723865729</v>
      </c>
      <c r="S9" s="57">
        <f t="shared" si="3"/>
        <v>1.8443126022913255E-2</v>
      </c>
      <c r="T9" s="57">
        <f t="shared" si="3"/>
        <v>0.18989960688394647</v>
      </c>
      <c r="U9" s="57">
        <f t="shared" si="3"/>
        <v>1.757994754711115E-2</v>
      </c>
      <c r="V9" s="57">
        <f t="shared" si="3"/>
        <v>0.19174637841973496</v>
      </c>
      <c r="W9" s="57"/>
      <c r="X9" s="57">
        <f t="shared" si="3"/>
        <v>0.22566482964539983</v>
      </c>
      <c r="Y9" s="57">
        <f t="shared" si="3"/>
        <v>0.29230332193015252</v>
      </c>
      <c r="Z9" s="57">
        <f t="shared" si="3"/>
        <v>-0.10664206808922411</v>
      </c>
      <c r="AA9" s="57">
        <f t="shared" si="3"/>
        <v>0.32658227848101268</v>
      </c>
      <c r="AB9" s="57">
        <f t="shared" si="3"/>
        <v>-0.19314628962506461</v>
      </c>
      <c r="AC9" s="57">
        <f t="shared" si="3"/>
        <v>-0.18874939054119941</v>
      </c>
      <c r="AD9" s="57">
        <f t="shared" si="3"/>
        <v>-4.3771391759796092</v>
      </c>
      <c r="AE9" s="57">
        <f t="shared" si="3"/>
        <v>-6.0640336820938197E-3</v>
      </c>
      <c r="AF9" s="4"/>
      <c r="AG9" s="4">
        <f>40/700*AF8</f>
        <v>4443197.5168780806</v>
      </c>
      <c r="AJ9">
        <f>AJ8/AJ7</f>
        <v>9.876543209876544E-2</v>
      </c>
    </row>
    <row r="10" spans="1:38">
      <c r="E10" t="e">
        <f>E15/E11</f>
        <v>#REF!</v>
      </c>
      <c r="L10" s="53" t="s">
        <v>367</v>
      </c>
      <c r="M10" s="53" t="s">
        <v>1029</v>
      </c>
      <c r="N10" s="53" t="s">
        <v>1028</v>
      </c>
      <c r="O10" s="53" t="s">
        <v>1027</v>
      </c>
      <c r="P10" s="53" t="s">
        <v>1026</v>
      </c>
      <c r="Q10" s="53" t="s">
        <v>1036</v>
      </c>
      <c r="R10" s="51" t="s">
        <v>1024</v>
      </c>
      <c r="S10">
        <v>1.1099000000000001</v>
      </c>
      <c r="T10" s="60">
        <v>1.3287</v>
      </c>
      <c r="U10">
        <v>1.3281000000000001</v>
      </c>
      <c r="V10" s="60">
        <v>1.2847999999999999</v>
      </c>
      <c r="W10" s="60"/>
      <c r="X10">
        <v>1.3916999999999999</v>
      </c>
      <c r="Y10" s="60">
        <v>1.3262</v>
      </c>
      <c r="Z10">
        <v>1.3948</v>
      </c>
      <c r="AA10" s="60">
        <v>1.4708000000000001</v>
      </c>
      <c r="AB10">
        <v>1.3705000000000001</v>
      </c>
      <c r="AC10">
        <v>1.2556</v>
      </c>
      <c r="AD10">
        <v>1.2444999999999999</v>
      </c>
      <c r="AF10">
        <f>0.2*AF8</f>
        <v>15551191.309073282</v>
      </c>
    </row>
    <row r="11" spans="1:38">
      <c r="A11" s="60" t="s">
        <v>1337</v>
      </c>
      <c r="D11" s="4" t="e">
        <f>#REF!*Booking!AC30*1000</f>
        <v>#REF!</v>
      </c>
      <c r="E11" s="75" t="e">
        <f>#REF!*Booking!AC29*1000</f>
        <v>#REF!</v>
      </c>
      <c r="K11" s="60" t="s">
        <v>1041</v>
      </c>
      <c r="L11">
        <v>452</v>
      </c>
      <c r="M11">
        <v>230</v>
      </c>
      <c r="N11">
        <v>79</v>
      </c>
      <c r="O11">
        <v>443</v>
      </c>
      <c r="P11">
        <v>435</v>
      </c>
      <c r="Q11">
        <v>397</v>
      </c>
      <c r="R11">
        <v>325</v>
      </c>
      <c r="S11">
        <v>260</v>
      </c>
      <c r="T11">
        <v>234</v>
      </c>
      <c r="U11">
        <v>177</v>
      </c>
      <c r="V11">
        <v>119</v>
      </c>
      <c r="X11">
        <v>48</v>
      </c>
      <c r="Y11">
        <v>12</v>
      </c>
    </row>
    <row r="12" spans="1:38">
      <c r="A12" s="60" t="s">
        <v>82</v>
      </c>
      <c r="B12" s="60" t="s">
        <v>1005</v>
      </c>
      <c r="C12" s="60"/>
      <c r="D12">
        <v>2020</v>
      </c>
      <c r="E12">
        <v>2019</v>
      </c>
      <c r="F12">
        <v>2018</v>
      </c>
      <c r="G12">
        <v>2017</v>
      </c>
      <c r="H12">
        <v>2016</v>
      </c>
      <c r="I12">
        <v>2015</v>
      </c>
      <c r="J12">
        <v>2014</v>
      </c>
      <c r="K12">
        <v>2013</v>
      </c>
      <c r="L12" s="181">
        <f>L11/L10</f>
        <v>429.08676666033801</v>
      </c>
      <c r="M12" s="181">
        <f t="shared" ref="M12:V12" si="4">M11/M10</f>
        <v>194.43739961112519</v>
      </c>
      <c r="N12" s="181">
        <f t="shared" si="4"/>
        <v>69.170825672007709</v>
      </c>
      <c r="O12" s="181">
        <f t="shared" si="4"/>
        <v>395.67702750982494</v>
      </c>
      <c r="P12" s="181">
        <f t="shared" si="4"/>
        <v>368.33192209991529</v>
      </c>
      <c r="Q12" s="181">
        <f t="shared" si="4"/>
        <v>351.42073116756666</v>
      </c>
      <c r="R12" s="181">
        <f t="shared" si="4"/>
        <v>293.61279248351252</v>
      </c>
      <c r="S12" s="181">
        <f t="shared" si="4"/>
        <v>234.25533831876743</v>
      </c>
      <c r="T12" s="181">
        <f t="shared" si="4"/>
        <v>176.11198916233914</v>
      </c>
      <c r="U12" s="181">
        <f t="shared" si="4"/>
        <v>133.2730969053535</v>
      </c>
      <c r="V12" s="181">
        <f t="shared" si="4"/>
        <v>92.621419676214202</v>
      </c>
      <c r="W12" s="181"/>
      <c r="X12" s="181">
        <f>X11/X10</f>
        <v>34.490191851692174</v>
      </c>
      <c r="Y12" s="181">
        <f>Y11/Y10</f>
        <v>9.0484089880862619</v>
      </c>
    </row>
    <row r="13" spans="1:38">
      <c r="A13" s="60" t="s">
        <v>5</v>
      </c>
      <c r="B13" s="4">
        <f>SUM(F13:H13)</f>
        <v>102322707</v>
      </c>
      <c r="C13" s="4"/>
      <c r="D13" s="4">
        <v>25043757</v>
      </c>
      <c r="E13" s="4">
        <v>35904134</v>
      </c>
      <c r="F13" s="4">
        <v>35656890</v>
      </c>
      <c r="G13" s="4">
        <v>35100748</v>
      </c>
      <c r="H13" s="4">
        <v>31565069</v>
      </c>
      <c r="I13">
        <v>31553642</v>
      </c>
      <c r="M13">
        <f>(SUM(M9:P9)+SUM(Q9:S9)/1000)/(SUM(M3:P3)+SUM(Q3:S3)/1000)</f>
        <v>6.3212322457790494E-5</v>
      </c>
      <c r="V13" s="60" t="s">
        <v>107</v>
      </c>
      <c r="W13" s="60"/>
      <c r="X13" s="60" t="s">
        <v>5</v>
      </c>
      <c r="Y13" s="60" t="s">
        <v>1031</v>
      </c>
      <c r="Z13" s="60" t="s">
        <v>1030</v>
      </c>
      <c r="AA13" s="60" t="s">
        <v>822</v>
      </c>
      <c r="AB13" s="60" t="s">
        <v>1165</v>
      </c>
      <c r="AC13" s="60" t="s">
        <v>1166</v>
      </c>
      <c r="AD13" s="60" t="s">
        <v>1338</v>
      </c>
    </row>
    <row r="14" spans="1:38">
      <c r="A14" s="60" t="s">
        <v>75</v>
      </c>
      <c r="B14" s="4">
        <f t="shared" ref="B14:B15" si="5">SUM(F14:H14)</f>
        <v>36668147</v>
      </c>
      <c r="C14" s="4"/>
      <c r="D14" s="4">
        <v>340565</v>
      </c>
      <c r="E14" s="4">
        <v>14140000</v>
      </c>
      <c r="F14" s="4">
        <v>13730306</v>
      </c>
      <c r="G14" s="4">
        <v>12345984</v>
      </c>
      <c r="H14" s="4">
        <v>10591857</v>
      </c>
      <c r="I14">
        <v>9713305</v>
      </c>
      <c r="L14">
        <f>0.75*0.75*L3</f>
        <v>2206.6875</v>
      </c>
      <c r="P14" s="181"/>
      <c r="V14">
        <v>2004</v>
      </c>
      <c r="X14">
        <v>914372</v>
      </c>
      <c r="Y14">
        <v>32020</v>
      </c>
      <c r="Z14" s="57">
        <v>0</v>
      </c>
      <c r="AA14">
        <v>0</v>
      </c>
      <c r="AE14">
        <v>17090</v>
      </c>
      <c r="AF14">
        <v>3058</v>
      </c>
      <c r="AG14">
        <v>13428</v>
      </c>
      <c r="AI14" t="s">
        <v>1043</v>
      </c>
      <c r="AJ14" t="s">
        <v>1044</v>
      </c>
      <c r="AK14" t="s">
        <v>1045</v>
      </c>
      <c r="AL14" t="s">
        <v>1046</v>
      </c>
    </row>
    <row r="15" spans="1:38">
      <c r="A15" s="60" t="s">
        <v>13</v>
      </c>
      <c r="B15" s="4">
        <f t="shared" si="5"/>
        <v>11040433</v>
      </c>
      <c r="C15" s="4"/>
      <c r="D15" s="4">
        <v>1712104</v>
      </c>
      <c r="E15" s="4">
        <v>4096734</v>
      </c>
      <c r="F15" s="4">
        <v>4197785</v>
      </c>
      <c r="G15" s="4">
        <v>3738888</v>
      </c>
      <c r="H15" s="4">
        <v>3103760</v>
      </c>
      <c r="I15" s="4">
        <v>3172133</v>
      </c>
      <c r="K15">
        <f>K16-K17</f>
        <v>452</v>
      </c>
      <c r="L15">
        <f>0.25*L14</f>
        <v>551.671875</v>
      </c>
      <c r="N15" s="181">
        <f>L3/L10</f>
        <v>3724.131384089615</v>
      </c>
      <c r="V15">
        <v>2005</v>
      </c>
      <c r="X15">
        <v>962660</v>
      </c>
      <c r="Y15">
        <v>191980</v>
      </c>
      <c r="Z15" s="57">
        <v>2.9274094695946648E-2</v>
      </c>
      <c r="AA15" s="186">
        <v>28181</v>
      </c>
      <c r="AB15">
        <v>1.2444999999999999</v>
      </c>
      <c r="AC15" s="184">
        <v>22644.435516271595</v>
      </c>
      <c r="AD15" s="184"/>
      <c r="AE15">
        <v>10958</v>
      </c>
      <c r="AF15">
        <v>1165</v>
      </c>
      <c r="AG15">
        <v>8678</v>
      </c>
      <c r="AI15" s="196">
        <v>40241</v>
      </c>
      <c r="AJ15">
        <v>0.5</v>
      </c>
      <c r="AK15">
        <v>129</v>
      </c>
    </row>
    <row r="16" spans="1:38">
      <c r="A16" s="60" t="s">
        <v>16</v>
      </c>
      <c r="B16" s="57">
        <f>B15/B14</f>
        <v>0.30109056233466064</v>
      </c>
      <c r="C16" s="57"/>
      <c r="D16" s="57">
        <f>D15/D14</f>
        <v>5.0272459001952639</v>
      </c>
      <c r="E16" s="57">
        <f>E15/E14</f>
        <v>0.28972659123055161</v>
      </c>
      <c r="F16" s="57">
        <f t="shared" ref="F16:H16" si="6">F15/F14</f>
        <v>0.30573135077980051</v>
      </c>
      <c r="G16" s="57">
        <f t="shared" si="6"/>
        <v>0.30284244658019971</v>
      </c>
      <c r="H16" s="57">
        <f t="shared" si="6"/>
        <v>0.29303265706853859</v>
      </c>
      <c r="K16">
        <f>L16*0.25</f>
        <v>706.25</v>
      </c>
      <c r="L16">
        <f>L11*100/16</f>
        <v>2825</v>
      </c>
      <c r="N16" s="181"/>
      <c r="V16">
        <v>2006</v>
      </c>
      <c r="X16">
        <v>1123103</v>
      </c>
      <c r="Y16">
        <v>78020</v>
      </c>
      <c r="Z16" s="57">
        <v>0.10516666770545534</v>
      </c>
      <c r="AA16" s="187">
        <v>118113</v>
      </c>
      <c r="AB16">
        <v>1.2556</v>
      </c>
      <c r="AC16" s="184">
        <v>94068.97100987575</v>
      </c>
      <c r="AD16" s="184"/>
      <c r="AE16">
        <v>6796</v>
      </c>
      <c r="AF16">
        <v>59</v>
      </c>
      <c r="AG16">
        <v>5264</v>
      </c>
      <c r="AK16">
        <v>163</v>
      </c>
    </row>
    <row r="17" spans="1:38">
      <c r="A17" s="60" t="s">
        <v>999</v>
      </c>
      <c r="B17" s="4">
        <v>77573882</v>
      </c>
      <c r="C17" s="4">
        <v>38000000</v>
      </c>
      <c r="D17" s="4"/>
      <c r="E17" s="4"/>
      <c r="F17" s="4">
        <f>F15/B15*B17</f>
        <v>29495082.145000111</v>
      </c>
      <c r="G17" s="4">
        <f t="shared" ref="G17:H17" si="7">G15/F15*F17</f>
        <v>26270713.886241239</v>
      </c>
      <c r="H17" s="4">
        <f t="shared" si="7"/>
        <v>21808085.968758654</v>
      </c>
      <c r="I17">
        <v>36019249</v>
      </c>
      <c r="J17" t="s">
        <v>1006</v>
      </c>
      <c r="K17">
        <f>L16*0.09</f>
        <v>254.25</v>
      </c>
      <c r="L17">
        <v>365000000</v>
      </c>
      <c r="V17">
        <v>2007</v>
      </c>
      <c r="X17">
        <v>1409409</v>
      </c>
      <c r="Y17">
        <v>145398</v>
      </c>
      <c r="Z17" s="57">
        <v>0.17204090508858677</v>
      </c>
      <c r="AA17" s="186">
        <v>242476</v>
      </c>
      <c r="AB17">
        <v>1.3705000000000001</v>
      </c>
      <c r="AC17" s="184">
        <v>176925.20977745348</v>
      </c>
      <c r="AD17" s="184"/>
      <c r="AE17">
        <v>15066</v>
      </c>
      <c r="AF17">
        <v>4865</v>
      </c>
      <c r="AG17">
        <v>11686</v>
      </c>
      <c r="AK17">
        <v>257</v>
      </c>
    </row>
    <row r="18" spans="1:38">
      <c r="A18" s="60"/>
      <c r="B18" s="4"/>
      <c r="C18" s="4"/>
      <c r="D18" s="4"/>
      <c r="E18" s="4"/>
      <c r="F18" s="4"/>
      <c r="G18" s="4"/>
      <c r="H18" s="4"/>
      <c r="K18">
        <v>70</v>
      </c>
      <c r="L18">
        <v>64</v>
      </c>
      <c r="V18">
        <v>2008</v>
      </c>
      <c r="X18">
        <v>1884806</v>
      </c>
      <c r="Y18">
        <v>185934</v>
      </c>
      <c r="Z18" s="57">
        <v>0.21552881304494997</v>
      </c>
      <c r="AA18">
        <v>406230</v>
      </c>
      <c r="AB18" s="60">
        <v>1.4708000000000001</v>
      </c>
      <c r="AC18" s="184">
        <v>276196.62768561323</v>
      </c>
      <c r="AD18" s="184"/>
      <c r="AE18">
        <v>14527</v>
      </c>
      <c r="AF18">
        <v>3998</v>
      </c>
      <c r="AG18">
        <v>11094</v>
      </c>
      <c r="AI18" s="196">
        <v>41362</v>
      </c>
      <c r="AJ18">
        <v>1</v>
      </c>
      <c r="AK18">
        <v>884</v>
      </c>
    </row>
    <row r="19" spans="1:38">
      <c r="A19" s="60" t="s">
        <v>1000</v>
      </c>
      <c r="B19" s="4">
        <v>50444628</v>
      </c>
      <c r="C19" s="4"/>
      <c r="D19" s="4"/>
      <c r="E19" s="4"/>
      <c r="F19" s="4">
        <f>F17/B17*B19</f>
        <v>19180017.916777357</v>
      </c>
      <c r="G19" s="4">
        <f t="shared" ref="G19" si="8">G17/F17*F19</f>
        <v>17083280.546484362</v>
      </c>
      <c r="H19" s="4">
        <f t="shared" ref="H19" si="9">H17/G17*G19</f>
        <v>14181329.536738278</v>
      </c>
      <c r="I19">
        <v>42909463</v>
      </c>
      <c r="V19">
        <v>2009</v>
      </c>
      <c r="X19">
        <v>2338212</v>
      </c>
      <c r="Y19">
        <v>489470</v>
      </c>
      <c r="Z19" s="57">
        <v>0.23881923452621062</v>
      </c>
      <c r="AA19">
        <v>558410</v>
      </c>
      <c r="AB19">
        <v>1.3948</v>
      </c>
      <c r="AC19" s="184">
        <v>400351.30484657298</v>
      </c>
      <c r="AD19" s="184"/>
      <c r="AK19">
        <v>750</v>
      </c>
    </row>
    <row r="20" spans="1:38">
      <c r="A20" s="60" t="s">
        <v>1001</v>
      </c>
      <c r="B20" s="4">
        <f>B17/B16</f>
        <v>257643020.75259677</v>
      </c>
      <c r="C20" s="4"/>
      <c r="D20" s="4"/>
      <c r="E20" s="4"/>
      <c r="F20" s="4">
        <f t="shared" ref="F20:H20" si="10">F17/F16</f>
        <v>96473855.460912824</v>
      </c>
      <c r="G20" s="4">
        <f t="shared" si="10"/>
        <v>86747132.652305216</v>
      </c>
      <c r="H20" s="4">
        <f t="shared" si="10"/>
        <v>74422032.639378726</v>
      </c>
      <c r="L20" t="s">
        <v>1020</v>
      </c>
      <c r="M20">
        <v>2021</v>
      </c>
      <c r="P20">
        <v>2018</v>
      </c>
      <c r="Q20">
        <v>2017</v>
      </c>
      <c r="R20">
        <v>2016</v>
      </c>
      <c r="S20">
        <v>2015</v>
      </c>
      <c r="T20">
        <v>2014</v>
      </c>
      <c r="V20">
        <v>2010</v>
      </c>
      <c r="X20">
        <v>3084905</v>
      </c>
      <c r="Y20">
        <v>528142</v>
      </c>
      <c r="Z20" s="57">
        <v>0.29712973333052395</v>
      </c>
      <c r="AA20">
        <v>916617</v>
      </c>
      <c r="AB20" s="60">
        <v>1.3262</v>
      </c>
      <c r="AC20" s="184">
        <v>691160.45845272206</v>
      </c>
      <c r="AD20" s="184"/>
      <c r="AI20" s="196">
        <v>42054</v>
      </c>
      <c r="AJ20">
        <v>3</v>
      </c>
      <c r="AK20" s="4">
        <v>3089</v>
      </c>
    </row>
    <row r="21" spans="1:38">
      <c r="F21" s="4">
        <f>153000000-B19-I19</f>
        <v>59645909</v>
      </c>
      <c r="M21" s="75">
        <v>7526707</v>
      </c>
      <c r="N21" s="4">
        <v>4719907</v>
      </c>
      <c r="O21" s="184">
        <v>10702854</v>
      </c>
      <c r="P21" s="4">
        <v>9571550</v>
      </c>
      <c r="Q21" s="4">
        <v>8555045</v>
      </c>
      <c r="R21" s="184">
        <v>7122431</v>
      </c>
      <c r="S21" s="184">
        <v>5650977</v>
      </c>
      <c r="V21">
        <v>2011</v>
      </c>
      <c r="X21">
        <v>4355610</v>
      </c>
      <c r="Y21">
        <v>1059131</v>
      </c>
      <c r="Z21" s="57">
        <v>0.37626210794814047</v>
      </c>
      <c r="AA21">
        <v>1638851</v>
      </c>
      <c r="AB21">
        <v>1.3916999999999999</v>
      </c>
      <c r="AC21" s="184">
        <v>1177589.2792986995</v>
      </c>
      <c r="AD21" s="184"/>
      <c r="AI21" s="196">
        <v>42417</v>
      </c>
      <c r="AJ21">
        <v>3</v>
      </c>
      <c r="AK21">
        <v>1012</v>
      </c>
    </row>
    <row r="22" spans="1:38">
      <c r="A22" s="60" t="s">
        <v>708</v>
      </c>
      <c r="M22" s="4">
        <v>2581700</v>
      </c>
      <c r="N22" s="4">
        <v>1046410</v>
      </c>
      <c r="O22" s="4">
        <v>4559576</v>
      </c>
      <c r="P22" s="4">
        <v>3893456</v>
      </c>
      <c r="Q22" s="4">
        <v>3471458</v>
      </c>
      <c r="R22" s="184">
        <v>2872490</v>
      </c>
      <c r="S22" s="184">
        <v>2398282</v>
      </c>
      <c r="V22">
        <v>2012</v>
      </c>
      <c r="X22" s="60">
        <v>5260956</v>
      </c>
      <c r="Y22">
        <v>1424037</v>
      </c>
      <c r="Z22" s="57">
        <v>0.50864823807688186</v>
      </c>
      <c r="AA22" s="60">
        <v>2675976</v>
      </c>
      <c r="AB22" s="60">
        <v>1.2847999999999999</v>
      </c>
      <c r="AC22" s="184">
        <v>2082795.7658779577</v>
      </c>
      <c r="AD22" s="184"/>
      <c r="AF22" s="223" t="e">
        <f>#REF!*SUM(Booking!AC16:AC28)</f>
        <v>#REF!</v>
      </c>
      <c r="AG22" s="213"/>
      <c r="AI22" s="196"/>
      <c r="AK22">
        <v>1828</v>
      </c>
    </row>
    <row r="23" spans="1:38">
      <c r="B23">
        <v>2019</v>
      </c>
      <c r="C23">
        <v>2018</v>
      </c>
      <c r="D23">
        <v>2017</v>
      </c>
      <c r="E23">
        <v>2016</v>
      </c>
      <c r="F23">
        <v>2015</v>
      </c>
      <c r="G23">
        <v>2014</v>
      </c>
      <c r="H23">
        <v>2013</v>
      </c>
      <c r="M23" s="4">
        <v>638063</v>
      </c>
      <c r="N23" s="4">
        <v>267505</v>
      </c>
      <c r="O23" s="4">
        <v>791513</v>
      </c>
      <c r="P23" s="4">
        <v>623774</v>
      </c>
      <c r="Q23" s="4">
        <v>518580</v>
      </c>
      <c r="R23" s="184">
        <v>434478</v>
      </c>
      <c r="S23" s="184">
        <v>383209</v>
      </c>
      <c r="U23">
        <f>SUM(P23:S23)/SUM(P22:S22)</f>
        <v>0.15511947669481499</v>
      </c>
      <c r="V23">
        <v>2013</v>
      </c>
      <c r="X23">
        <v>6793306</v>
      </c>
      <c r="Y23">
        <v>2256164</v>
      </c>
      <c r="Z23" s="57">
        <v>0.60403476598875427</v>
      </c>
      <c r="AA23">
        <v>4103393</v>
      </c>
      <c r="AB23">
        <v>1.3281000000000001</v>
      </c>
      <c r="AC23" s="184">
        <v>3089671.7114675096</v>
      </c>
      <c r="AD23" s="184"/>
      <c r="AF23" s="223" t="e">
        <f>153000/AF22</f>
        <v>#REF!</v>
      </c>
      <c r="AG23" s="223" t="e">
        <f>AF23*SUM(AC16:AC28)</f>
        <v>#REF!</v>
      </c>
      <c r="AI23" s="196">
        <v>43158</v>
      </c>
      <c r="AJ23">
        <v>8</v>
      </c>
      <c r="AK23">
        <v>5971</v>
      </c>
    </row>
    <row r="24" spans="1:38">
      <c r="A24" s="60" t="s">
        <v>1007</v>
      </c>
      <c r="B24">
        <v>164</v>
      </c>
      <c r="N24" s="61">
        <f>N23/N22</f>
        <v>0.25564071444271363</v>
      </c>
      <c r="O24" s="61">
        <f>O23/O22</f>
        <v>0.17359355343567034</v>
      </c>
      <c r="P24" s="61">
        <f>P23/P22</f>
        <v>0.16021087691757657</v>
      </c>
      <c r="Q24" s="61">
        <f>Q23/Q22</f>
        <v>0.14938391880299287</v>
      </c>
      <c r="R24" s="61">
        <f t="shared" ref="R24:S24" si="11">R23/R22</f>
        <v>0.15125483465564718</v>
      </c>
      <c r="S24" s="61">
        <f t="shared" si="11"/>
        <v>0.15978479594976738</v>
      </c>
      <c r="V24">
        <v>2014</v>
      </c>
      <c r="X24" s="60">
        <v>8441971</v>
      </c>
      <c r="Y24">
        <v>2421753</v>
      </c>
      <c r="Z24" s="57">
        <v>0.65378180048237555</v>
      </c>
      <c r="AA24" s="60">
        <v>5519207</v>
      </c>
      <c r="AB24" s="60">
        <v>1.3287</v>
      </c>
      <c r="AC24" s="184">
        <v>4153839.8434560099</v>
      </c>
      <c r="AD24" s="184"/>
      <c r="AI24" s="196">
        <v>43594</v>
      </c>
      <c r="AJ24">
        <v>15</v>
      </c>
      <c r="AK24">
        <v>8187</v>
      </c>
      <c r="AL24" s="4"/>
    </row>
    <row r="25" spans="1:38">
      <c r="A25" s="60" t="s">
        <v>1002</v>
      </c>
      <c r="B25">
        <f>SUM(C25:H25)</f>
        <v>249</v>
      </c>
      <c r="C25">
        <v>111.6</v>
      </c>
      <c r="F25">
        <v>31.5</v>
      </c>
      <c r="G25">
        <v>57.9</v>
      </c>
      <c r="H25">
        <v>48</v>
      </c>
      <c r="M25" s="61">
        <f>M23/M22</f>
        <v>0.24714839059534416</v>
      </c>
      <c r="P25">
        <f>(P11/P10)*100/16</f>
        <v>2302.0745131244707</v>
      </c>
      <c r="Q25">
        <f t="shared" ref="Q25:S25" si="12">(Q11/Q10)*100/16</f>
        <v>2196.3795697972914</v>
      </c>
      <c r="R25">
        <f t="shared" si="12"/>
        <v>1835.0799530219533</v>
      </c>
      <c r="S25">
        <f t="shared" si="12"/>
        <v>1464.0958644922964</v>
      </c>
      <c r="V25">
        <v>2015</v>
      </c>
      <c r="X25">
        <v>9223987</v>
      </c>
      <c r="Y25">
        <v>3070624</v>
      </c>
      <c r="Z25" s="57">
        <v>0.67271517186656915</v>
      </c>
      <c r="AA25">
        <v>6205116</v>
      </c>
      <c r="AB25">
        <v>1.1099000000000001</v>
      </c>
      <c r="AC25" s="184">
        <v>5590698.2611046033</v>
      </c>
      <c r="AD25" s="184"/>
      <c r="AI25" s="196"/>
      <c r="AK25">
        <v>1303</v>
      </c>
    </row>
    <row r="26" spans="1:38">
      <c r="A26" s="60" t="s">
        <v>1003</v>
      </c>
      <c r="F26">
        <v>11.4</v>
      </c>
      <c r="G26">
        <v>11.7</v>
      </c>
      <c r="H26">
        <v>9.6999999999999993</v>
      </c>
      <c r="M26">
        <f>(M22-M23)/M21</f>
        <v>0.25823205287518169</v>
      </c>
      <c r="N26">
        <f t="shared" ref="N26:S26" si="13">(N22-N23)/N21</f>
        <v>0.16502549732441762</v>
      </c>
      <c r="O26">
        <f t="shared" si="13"/>
        <v>0.35206151555463616</v>
      </c>
      <c r="P26">
        <f t="shared" si="13"/>
        <v>0.34160423337912876</v>
      </c>
      <c r="Q26">
        <f t="shared" si="13"/>
        <v>0.34516218208086574</v>
      </c>
      <c r="R26">
        <f t="shared" si="13"/>
        <v>0.34230054317128522</v>
      </c>
      <c r="S26">
        <f t="shared" si="13"/>
        <v>0.35658842709853533</v>
      </c>
      <c r="V26">
        <v>2016</v>
      </c>
      <c r="X26">
        <v>10743006</v>
      </c>
      <c r="Y26">
        <v>2134987</v>
      </c>
      <c r="Z26" s="57">
        <v>0.72447134442631789</v>
      </c>
      <c r="AA26">
        <v>7783000</v>
      </c>
      <c r="AB26" s="51" t="s">
        <v>1024</v>
      </c>
      <c r="AC26" s="184">
        <v>7031348.8119974704</v>
      </c>
      <c r="AD26" s="184"/>
      <c r="AI26" s="196"/>
      <c r="AK26">
        <v>163</v>
      </c>
    </row>
    <row r="27" spans="1:38">
      <c r="A27" s="60" t="s">
        <v>1004</v>
      </c>
      <c r="F27">
        <v>11</v>
      </c>
      <c r="G27">
        <v>12</v>
      </c>
      <c r="H27">
        <v>7.1</v>
      </c>
      <c r="M27">
        <v>10672</v>
      </c>
      <c r="P27">
        <v>3279</v>
      </c>
      <c r="Q27">
        <v>2381</v>
      </c>
      <c r="V27">
        <v>2017</v>
      </c>
      <c r="X27" s="60">
        <v>12681082</v>
      </c>
      <c r="Y27">
        <v>2340765</v>
      </c>
      <c r="Z27" s="57">
        <v>0.75230173576671144</v>
      </c>
      <c r="AA27" s="60">
        <v>9540000</v>
      </c>
      <c r="AB27" s="53" t="s">
        <v>1036</v>
      </c>
      <c r="AC27" s="184">
        <v>8444719.8371249009</v>
      </c>
      <c r="AD27" s="184"/>
      <c r="AE27" t="e">
        <f>#REF!*SUM(Booking!AC17:AC28)</f>
        <v>#REF!</v>
      </c>
      <c r="AI27" s="196"/>
      <c r="AK27">
        <v>6621</v>
      </c>
    </row>
    <row r="28" spans="1:38">
      <c r="F28">
        <f>F26*3</f>
        <v>34.200000000000003</v>
      </c>
      <c r="G28">
        <f t="shared" ref="G28:H28" si="14">G26*3</f>
        <v>35.099999999999994</v>
      </c>
      <c r="H28">
        <f t="shared" si="14"/>
        <v>29.099999999999998</v>
      </c>
      <c r="I28">
        <f>C25+F25+G28+H28</f>
        <v>207.29999999999998</v>
      </c>
      <c r="M28">
        <f>M22/M27</f>
        <v>241.91341829085457</v>
      </c>
      <c r="P28">
        <f>(P22-P23)/P27</f>
        <v>997.15827996340352</v>
      </c>
      <c r="Q28">
        <f>(Q22-Q23)/Q27</f>
        <v>1240.1839563208737</v>
      </c>
      <c r="V28">
        <v>2018</v>
      </c>
      <c r="X28">
        <v>14527000</v>
      </c>
      <c r="Y28">
        <v>3998000</v>
      </c>
      <c r="Z28" s="57">
        <v>0.76368142080264334</v>
      </c>
      <c r="AA28">
        <v>11094000</v>
      </c>
      <c r="AB28" s="53" t="s">
        <v>1026</v>
      </c>
      <c r="AC28" s="184">
        <v>9393734.1236240473</v>
      </c>
      <c r="AD28" s="184"/>
      <c r="AE28" t="e">
        <f>#REF!*SUM(Booking!AC20:AC32)</f>
        <v>#REF!</v>
      </c>
      <c r="AI28" s="196">
        <v>44980</v>
      </c>
      <c r="AJ28">
        <v>20</v>
      </c>
      <c r="AK28">
        <v>-20000</v>
      </c>
    </row>
    <row r="29" spans="1:38">
      <c r="B29" t="s">
        <v>1008</v>
      </c>
      <c r="C29" t="s">
        <v>1009</v>
      </c>
      <c r="D29" t="s">
        <v>1010</v>
      </c>
      <c r="E29" t="s">
        <v>1015</v>
      </c>
      <c r="M29">
        <f>(0.5*M22*1000)/M27</f>
        <v>120956.70914542729</v>
      </c>
      <c r="P29">
        <f>(P22*1000)/P27</f>
        <v>1187391.2778286063</v>
      </c>
      <c r="Q29">
        <f>(Q22*1000)/Q27</f>
        <v>1457983.2003359932</v>
      </c>
      <c r="V29">
        <v>2019</v>
      </c>
      <c r="X29">
        <v>15066000</v>
      </c>
      <c r="Y29">
        <v>4865000</v>
      </c>
      <c r="Z29" s="57">
        <v>0.77565378999070755</v>
      </c>
      <c r="AA29">
        <v>11686000</v>
      </c>
      <c r="AB29" s="53" t="s">
        <v>1027</v>
      </c>
      <c r="AC29" s="184">
        <v>10437656.305823509</v>
      </c>
      <c r="AD29" s="184"/>
    </row>
    <row r="30" spans="1:38">
      <c r="A30" s="60" t="s">
        <v>358</v>
      </c>
      <c r="B30">
        <f>356+70</f>
        <v>426</v>
      </c>
      <c r="D30" t="s">
        <v>1013</v>
      </c>
      <c r="E30" s="60" t="s">
        <v>1167</v>
      </c>
      <c r="P30">
        <f>(0.25-P24)*P22</f>
        <v>349590</v>
      </c>
      <c r="Q30">
        <f>(0.25-Q24)*Q22</f>
        <v>349284.5</v>
      </c>
      <c r="R30">
        <f>(0.25-R24)*R22</f>
        <v>283644.50000000006</v>
      </c>
      <c r="S30">
        <f>(0.25-S24)*S22</f>
        <v>216361.49999999997</v>
      </c>
      <c r="V30">
        <v>2020</v>
      </c>
      <c r="X30">
        <v>6796000</v>
      </c>
      <c r="Y30">
        <v>59000</v>
      </c>
      <c r="Z30" s="57">
        <v>0.77457327839905832</v>
      </c>
      <c r="AA30">
        <v>5264000</v>
      </c>
      <c r="AB30" s="53" t="s">
        <v>1028</v>
      </c>
      <c r="AC30" s="184">
        <v>4609053.4979423871</v>
      </c>
      <c r="AD30" s="184"/>
    </row>
    <row r="31" spans="1:38">
      <c r="A31" s="60" t="s">
        <v>358</v>
      </c>
      <c r="C31">
        <v>117</v>
      </c>
      <c r="D31" t="s">
        <v>1014</v>
      </c>
      <c r="E31" s="60" t="s">
        <v>1042</v>
      </c>
      <c r="V31">
        <v>2021</v>
      </c>
      <c r="X31">
        <v>10958000</v>
      </c>
      <c r="Y31">
        <v>1165000</v>
      </c>
      <c r="Z31" s="57">
        <v>0.79193283445884288</v>
      </c>
      <c r="AA31">
        <v>8678000</v>
      </c>
      <c r="AB31" s="53" t="s">
        <v>1029</v>
      </c>
      <c r="AC31" s="184">
        <v>7336207.6253275843</v>
      </c>
      <c r="AD31" s="184"/>
    </row>
    <row r="32" spans="1:38">
      <c r="A32" s="60" t="s">
        <v>358</v>
      </c>
      <c r="C32">
        <v>38</v>
      </c>
      <c r="D32" t="s">
        <v>1016</v>
      </c>
      <c r="E32" t="s">
        <v>1017</v>
      </c>
      <c r="O32" s="213"/>
      <c r="P32" s="213">
        <v>2018</v>
      </c>
      <c r="Q32" s="213">
        <v>2017</v>
      </c>
      <c r="R32" s="213">
        <v>2016</v>
      </c>
      <c r="S32" s="213">
        <v>2015</v>
      </c>
      <c r="T32" s="213">
        <v>2021</v>
      </c>
      <c r="V32">
        <v>2022</v>
      </c>
      <c r="X32">
        <v>17090000</v>
      </c>
      <c r="Y32">
        <v>3058000</v>
      </c>
      <c r="Z32" s="57">
        <v>0.78572264482153309</v>
      </c>
      <c r="AA32">
        <v>13428000</v>
      </c>
      <c r="AB32" s="53" t="s">
        <v>367</v>
      </c>
      <c r="AC32" s="184">
        <v>12747294.475033227</v>
      </c>
      <c r="AD32" s="184"/>
    </row>
    <row r="33" spans="1:30">
      <c r="A33" s="60" t="s">
        <v>402</v>
      </c>
      <c r="B33">
        <v>154</v>
      </c>
      <c r="D33" t="s">
        <v>1018</v>
      </c>
      <c r="E33" t="s">
        <v>1019</v>
      </c>
      <c r="O33" s="214" t="s">
        <v>127</v>
      </c>
      <c r="P33" s="215">
        <f>P22</f>
        <v>3893456</v>
      </c>
      <c r="Q33" s="215">
        <f t="shared" ref="Q33:S33" si="15">Q22</f>
        <v>3471458</v>
      </c>
      <c r="R33" s="215">
        <f t="shared" si="15"/>
        <v>2872490</v>
      </c>
      <c r="S33" s="215">
        <f t="shared" si="15"/>
        <v>2398282</v>
      </c>
      <c r="T33" s="4">
        <f>M22</f>
        <v>2581700</v>
      </c>
      <c r="AC33" s="184"/>
      <c r="AD33" s="184"/>
    </row>
    <row r="34" spans="1:30">
      <c r="A34" s="60" t="s">
        <v>402</v>
      </c>
      <c r="C34">
        <v>251</v>
      </c>
      <c r="D34" t="s">
        <v>1012</v>
      </c>
      <c r="E34" t="s">
        <v>1017</v>
      </c>
      <c r="O34" s="214" t="s">
        <v>13</v>
      </c>
      <c r="P34" s="215">
        <f t="shared" ref="P34:S34" si="16">P23</f>
        <v>623774</v>
      </c>
      <c r="Q34" s="215">
        <f t="shared" si="16"/>
        <v>518580</v>
      </c>
      <c r="R34" s="215">
        <f t="shared" si="16"/>
        <v>434478</v>
      </c>
      <c r="S34" s="215">
        <f t="shared" si="16"/>
        <v>383209</v>
      </c>
      <c r="T34" s="4">
        <f>M23</f>
        <v>638063</v>
      </c>
    </row>
    <row r="35" spans="1:30">
      <c r="A35" s="60" t="s">
        <v>427</v>
      </c>
      <c r="D35" t="s">
        <v>1011</v>
      </c>
      <c r="E35" t="s">
        <v>1019</v>
      </c>
      <c r="J35">
        <f>0.35*700</f>
        <v>244.99999999999997</v>
      </c>
      <c r="O35" s="214" t="s">
        <v>1163</v>
      </c>
      <c r="P35" s="216">
        <f t="shared" ref="P35:S35" si="17">P24</f>
        <v>0.16021087691757657</v>
      </c>
      <c r="Q35" s="216">
        <f t="shared" si="17"/>
        <v>0.14938391880299287</v>
      </c>
      <c r="R35" s="216">
        <f t="shared" si="17"/>
        <v>0.15125483465564718</v>
      </c>
      <c r="S35" s="216">
        <f t="shared" si="17"/>
        <v>0.15978479594976738</v>
      </c>
      <c r="T35" s="216"/>
    </row>
    <row r="36" spans="1:30">
      <c r="O36" s="214" t="s">
        <v>1161</v>
      </c>
      <c r="P36" s="217">
        <f>ROUND(P11/P10*1000,0)</f>
        <v>368332</v>
      </c>
      <c r="Q36" s="217">
        <f t="shared" ref="Q36:S36" si="18">ROUND(Q11/Q10*1000,0)</f>
        <v>351421</v>
      </c>
      <c r="R36" s="217">
        <f t="shared" si="18"/>
        <v>293613</v>
      </c>
      <c r="S36" s="217">
        <f t="shared" si="18"/>
        <v>234255</v>
      </c>
      <c r="T36" s="224">
        <f>M11*M10*1000</f>
        <v>272067</v>
      </c>
    </row>
    <row r="37" spans="1:30">
      <c r="A37" s="60" t="s">
        <v>1038</v>
      </c>
      <c r="B37">
        <v>700</v>
      </c>
      <c r="O37" s="214" t="s">
        <v>1162</v>
      </c>
      <c r="P37" s="215">
        <f>P36*100/16</f>
        <v>2302075</v>
      </c>
      <c r="Q37" s="215">
        <f t="shared" ref="Q37:T37" si="19">Q36*100/16</f>
        <v>2196381.25</v>
      </c>
      <c r="R37" s="215">
        <f t="shared" si="19"/>
        <v>1835081.25</v>
      </c>
      <c r="S37" s="215">
        <f t="shared" si="19"/>
        <v>1464093.75</v>
      </c>
      <c r="T37" s="215">
        <f t="shared" si="19"/>
        <v>1700418.75</v>
      </c>
    </row>
    <row r="38" spans="1:30">
      <c r="A38" s="60" t="s">
        <v>402</v>
      </c>
      <c r="B38">
        <v>154</v>
      </c>
      <c r="O38" s="214" t="s">
        <v>1164</v>
      </c>
      <c r="P38" s="216">
        <f>P37/P33</f>
        <v>0.59126775800214515</v>
      </c>
      <c r="Q38" s="216">
        <f t="shared" ref="Q38:T38" si="20">Q37/Q33</f>
        <v>0.63269705409081722</v>
      </c>
      <c r="R38" s="216">
        <f t="shared" si="20"/>
        <v>0.63884687152957886</v>
      </c>
      <c r="S38" s="216">
        <f t="shared" si="20"/>
        <v>0.61047606161410539</v>
      </c>
      <c r="T38" s="216">
        <f t="shared" si="20"/>
        <v>0.65864304528024165</v>
      </c>
    </row>
    <row r="39" spans="1:30">
      <c r="A39" s="60" t="s">
        <v>1037</v>
      </c>
      <c r="B39">
        <v>44</v>
      </c>
    </row>
    <row r="40" spans="1:30">
      <c r="B40">
        <f>B39/B37</f>
        <v>6.2857142857142861E-2</v>
      </c>
      <c r="C40" s="213" t="e">
        <f>93/#REF!</f>
        <v>#REF!</v>
      </c>
      <c r="D40" t="e">
        <f>44/#REF!</f>
        <v>#REF!</v>
      </c>
    </row>
    <row r="41" spans="1:30">
      <c r="A41" s="60" t="s">
        <v>1039</v>
      </c>
      <c r="B41">
        <f>B40*AF8</f>
        <v>4887517.2685658885</v>
      </c>
      <c r="C41" s="181" t="e">
        <f>C40*SUM(AC18:AC25)</f>
        <v>#REF!</v>
      </c>
    </row>
    <row r="42" spans="1:30">
      <c r="A42" s="60" t="s">
        <v>1040</v>
      </c>
      <c r="B42">
        <f>B40*SUM(T8:AD8)</f>
        <v>764672.45532157482</v>
      </c>
      <c r="V42" t="s">
        <v>1359</v>
      </c>
      <c r="W42" t="s">
        <v>1360</v>
      </c>
    </row>
    <row r="43" spans="1:30">
      <c r="U43">
        <v>1</v>
      </c>
      <c r="V43" t="s">
        <v>1339</v>
      </c>
      <c r="W43" t="str">
        <f>CONCATENATE(X43,"%")</f>
        <v>8,034%</v>
      </c>
      <c r="X43">
        <v>8.0340000000000007</v>
      </c>
      <c r="Y43" t="s">
        <v>1340</v>
      </c>
    </row>
    <row r="44" spans="1:30">
      <c r="U44">
        <v>1</v>
      </c>
      <c r="V44" t="s">
        <v>1341</v>
      </c>
      <c r="W44" t="str">
        <f t="shared" ref="W44:W52" si="21">CONCATENATE(X44,"%")</f>
        <v>3,342%</v>
      </c>
      <c r="X44">
        <v>3.3420000000000001</v>
      </c>
      <c r="Y44" t="s">
        <v>1342</v>
      </c>
    </row>
    <row r="45" spans="1:30">
      <c r="A45" s="2">
        <v>2021</v>
      </c>
      <c r="B45" t="s">
        <v>357</v>
      </c>
      <c r="C45" t="s">
        <v>82</v>
      </c>
      <c r="D45" t="s">
        <v>356</v>
      </c>
      <c r="E45" t="s">
        <v>362</v>
      </c>
      <c r="U45">
        <v>1</v>
      </c>
      <c r="V45" t="s">
        <v>1343</v>
      </c>
      <c r="W45" t="str">
        <f t="shared" si="21"/>
        <v>2,085%</v>
      </c>
      <c r="X45">
        <v>2.085</v>
      </c>
      <c r="Y45" t="s">
        <v>1344</v>
      </c>
    </row>
    <row r="46" spans="1:30">
      <c r="A46" s="58" t="s">
        <v>5</v>
      </c>
      <c r="B46" s="4">
        <v>302242168</v>
      </c>
      <c r="C46" s="4">
        <v>28844582</v>
      </c>
      <c r="D46" s="4">
        <v>22597106.41</v>
      </c>
      <c r="E46" s="4">
        <v>1871462.6211569225</v>
      </c>
      <c r="U46">
        <v>1</v>
      </c>
      <c r="V46" t="s">
        <v>1345</v>
      </c>
      <c r="W46" t="str">
        <f t="shared" si="21"/>
        <v>1,987%</v>
      </c>
      <c r="X46">
        <v>1.9870000000000001</v>
      </c>
      <c r="Y46" t="s">
        <v>1346</v>
      </c>
    </row>
    <row r="47" spans="1:30">
      <c r="A47" s="58" t="s">
        <v>19</v>
      </c>
      <c r="B47" s="4">
        <v>13530481</v>
      </c>
      <c r="C47" s="4">
        <v>10487813</v>
      </c>
      <c r="D47" s="4">
        <v>9193901.7599999998</v>
      </c>
      <c r="E47" s="4">
        <v>816401.79063546052</v>
      </c>
      <c r="U47">
        <v>1</v>
      </c>
      <c r="V47" t="s">
        <v>1347</v>
      </c>
      <c r="W47" t="str">
        <f t="shared" si="21"/>
        <v>1,873%</v>
      </c>
      <c r="X47">
        <v>1.873</v>
      </c>
      <c r="Y47" t="s">
        <v>1348</v>
      </c>
    </row>
    <row r="48" spans="1:30">
      <c r="A48" s="68" t="s">
        <v>13</v>
      </c>
      <c r="B48" s="4">
        <v>3646070</v>
      </c>
      <c r="C48" s="4">
        <v>2695645</v>
      </c>
      <c r="D48" s="4">
        <v>2877967.52</v>
      </c>
      <c r="E48" s="4">
        <v>597440.0096791106</v>
      </c>
      <c r="U48">
        <v>1</v>
      </c>
      <c r="V48" t="s">
        <v>1349</v>
      </c>
      <c r="W48" t="str">
        <f t="shared" si="21"/>
        <v>1,535%</v>
      </c>
      <c r="X48">
        <v>1.5349999999999999</v>
      </c>
      <c r="Y48" t="s">
        <v>1350</v>
      </c>
    </row>
    <row r="49" spans="1:25">
      <c r="A49" s="58" t="s">
        <v>21</v>
      </c>
      <c r="U49">
        <v>1</v>
      </c>
      <c r="V49" t="s">
        <v>1351</v>
      </c>
      <c r="W49" t="str">
        <f t="shared" si="21"/>
        <v>1,485%</v>
      </c>
      <c r="X49">
        <v>1.4850000000000001</v>
      </c>
      <c r="Y49" t="s">
        <v>1352</v>
      </c>
    </row>
    <row r="50" spans="1:25">
      <c r="A50" s="58" t="s">
        <v>353</v>
      </c>
      <c r="U50">
        <v>1</v>
      </c>
      <c r="V50" t="s">
        <v>1353</v>
      </c>
      <c r="W50" t="str">
        <f t="shared" si="21"/>
        <v>1,202%</v>
      </c>
      <c r="X50">
        <v>1.202</v>
      </c>
      <c r="Y50" t="s">
        <v>1354</v>
      </c>
    </row>
    <row r="51" spans="1:25">
      <c r="A51" s="67" t="s">
        <v>22</v>
      </c>
      <c r="B51">
        <v>158</v>
      </c>
      <c r="C51">
        <v>147</v>
      </c>
      <c r="D51">
        <v>107</v>
      </c>
      <c r="E51">
        <v>13</v>
      </c>
      <c r="U51">
        <v>1</v>
      </c>
      <c r="V51" t="s">
        <v>1355</v>
      </c>
      <c r="W51" t="str">
        <f t="shared" si="21"/>
        <v>0,9381%</v>
      </c>
      <c r="X51">
        <v>0.93810000000000004</v>
      </c>
      <c r="Y51" t="s">
        <v>1356</v>
      </c>
    </row>
    <row r="52" spans="1:25">
      <c r="U52">
        <v>1</v>
      </c>
      <c r="V52" t="s">
        <v>1357</v>
      </c>
      <c r="W52" t="str">
        <f t="shared" si="21"/>
        <v>0,9179%</v>
      </c>
      <c r="X52">
        <v>0.91790000000000005</v>
      </c>
      <c r="Y52" t="s">
        <v>1358</v>
      </c>
    </row>
    <row r="53" spans="1:25">
      <c r="A53" s="2">
        <v>2021</v>
      </c>
      <c r="B53" s="58" t="s">
        <v>5</v>
      </c>
      <c r="C53" s="58" t="s">
        <v>19</v>
      </c>
      <c r="D53" s="68" t="s">
        <v>13</v>
      </c>
      <c r="E53" s="58" t="s">
        <v>21</v>
      </c>
      <c r="F53" s="58" t="s">
        <v>353</v>
      </c>
      <c r="G53" s="67" t="s">
        <v>22</v>
      </c>
      <c r="U53">
        <v>2</v>
      </c>
    </row>
    <row r="54" spans="1:25">
      <c r="A54" s="60" t="s">
        <v>402</v>
      </c>
      <c r="B54" s="4">
        <v>30303925</v>
      </c>
      <c r="C54" s="4">
        <v>13530481</v>
      </c>
      <c r="D54" s="4">
        <v>3646070</v>
      </c>
      <c r="E54" s="57">
        <f>D54/C54</f>
        <v>0.26947083403760741</v>
      </c>
      <c r="F54" s="57">
        <f>(C54-D54)/B54</f>
        <v>0.32617593265558836</v>
      </c>
      <c r="G54">
        <v>158</v>
      </c>
      <c r="U54">
        <v>2</v>
      </c>
    </row>
    <row r="55" spans="1:25">
      <c r="A55" s="60" t="s">
        <v>358</v>
      </c>
      <c r="B55" s="4">
        <v>28844582</v>
      </c>
      <c r="C55" s="4">
        <v>10487813</v>
      </c>
      <c r="D55" s="4">
        <v>2695645</v>
      </c>
      <c r="E55" s="57">
        <f t="shared" ref="E55:E57" si="22">D55/C55</f>
        <v>0.25702641723303038</v>
      </c>
      <c r="F55" s="57">
        <f t="shared" ref="F55:F57" si="23">(C55-D55)/B55</f>
        <v>0.27014321095032684</v>
      </c>
      <c r="G55">
        <v>147</v>
      </c>
      <c r="U55">
        <v>2</v>
      </c>
    </row>
    <row r="56" spans="1:25">
      <c r="A56" s="60" t="s">
        <v>94</v>
      </c>
      <c r="B56" s="4">
        <v>22597106.41</v>
      </c>
      <c r="C56" s="4">
        <v>9193901.7599999998</v>
      </c>
      <c r="D56" s="4">
        <v>2877967.52</v>
      </c>
      <c r="E56" s="57">
        <f t="shared" si="22"/>
        <v>0.31303004917033178</v>
      </c>
      <c r="F56" s="57">
        <f t="shared" si="23"/>
        <v>0.27950190282792053</v>
      </c>
      <c r="G56">
        <v>107</v>
      </c>
      <c r="U56">
        <v>2</v>
      </c>
    </row>
    <row r="57" spans="1:25">
      <c r="A57" t="s">
        <v>362</v>
      </c>
      <c r="B57" s="4">
        <v>1871462.6211569225</v>
      </c>
      <c r="C57" s="4">
        <v>816401.79063546052</v>
      </c>
      <c r="D57" s="4">
        <v>597440.0096791106</v>
      </c>
      <c r="E57" s="57">
        <f t="shared" si="22"/>
        <v>0.73179654495133184</v>
      </c>
      <c r="F57" s="57">
        <f t="shared" si="23"/>
        <v>0.1170003496094352</v>
      </c>
      <c r="G57">
        <v>13</v>
      </c>
      <c r="U57">
        <v>2</v>
      </c>
    </row>
    <row r="58" spans="1:25">
      <c r="U58">
        <v>2</v>
      </c>
    </row>
    <row r="59" spans="1:25">
      <c r="A59" s="2">
        <v>2021</v>
      </c>
      <c r="B59" s="58" t="s">
        <v>5</v>
      </c>
      <c r="C59" s="58" t="s">
        <v>19</v>
      </c>
      <c r="D59" s="68" t="s">
        <v>13</v>
      </c>
      <c r="E59" s="58" t="s">
        <v>21</v>
      </c>
      <c r="F59" s="58" t="s">
        <v>353</v>
      </c>
      <c r="G59" s="67" t="s">
        <v>22</v>
      </c>
      <c r="U59">
        <v>2</v>
      </c>
    </row>
    <row r="60" spans="1:25">
      <c r="A60" s="60" t="s">
        <v>402</v>
      </c>
      <c r="B60" s="4">
        <v>30303925</v>
      </c>
      <c r="C60" s="4">
        <v>13530481</v>
      </c>
      <c r="D60" s="4">
        <v>3646070</v>
      </c>
      <c r="E60" s="57">
        <v>0.26947083403760741</v>
      </c>
      <c r="F60" s="57">
        <v>0.32617593265558836</v>
      </c>
      <c r="G60">
        <v>158</v>
      </c>
      <c r="U60">
        <v>2</v>
      </c>
    </row>
    <row r="61" spans="1:25">
      <c r="A61" s="60" t="s">
        <v>358</v>
      </c>
      <c r="B61" s="4">
        <v>28844582</v>
      </c>
      <c r="C61" s="4">
        <v>10487813</v>
      </c>
      <c r="D61" s="4">
        <v>2695645</v>
      </c>
      <c r="E61" s="57">
        <v>0.25702641723303038</v>
      </c>
      <c r="F61" s="57">
        <v>0.27014321095032684</v>
      </c>
      <c r="G61">
        <v>147</v>
      </c>
      <c r="U61">
        <v>2</v>
      </c>
    </row>
    <row r="62" spans="1:25">
      <c r="A62" s="60" t="s">
        <v>94</v>
      </c>
      <c r="B62" s="4">
        <v>22597106.41</v>
      </c>
      <c r="C62" s="4">
        <v>9193901.7599999998</v>
      </c>
      <c r="D62" s="4">
        <v>2877967.52</v>
      </c>
      <c r="E62" s="57">
        <v>0.31303004917033178</v>
      </c>
      <c r="F62" s="57">
        <v>0.27950190282792053</v>
      </c>
      <c r="G62">
        <v>107</v>
      </c>
      <c r="U62">
        <v>2</v>
      </c>
    </row>
    <row r="64" spans="1:25">
      <c r="A64" s="2">
        <v>2021</v>
      </c>
      <c r="B64" s="60" t="s">
        <v>402</v>
      </c>
      <c r="C64" s="60" t="s">
        <v>358</v>
      </c>
      <c r="D64" s="60" t="s">
        <v>94</v>
      </c>
      <c r="E64" s="60" t="s">
        <v>402</v>
      </c>
      <c r="F64" s="60" t="s">
        <v>358</v>
      </c>
      <c r="G64" s="60" t="s">
        <v>94</v>
      </c>
      <c r="H64" s="60" t="s">
        <v>408</v>
      </c>
    </row>
    <row r="65" spans="1:8">
      <c r="A65" s="58" t="s">
        <v>5</v>
      </c>
      <c r="B65" s="4">
        <v>30303925</v>
      </c>
      <c r="C65" s="4">
        <v>28844582</v>
      </c>
      <c r="D65" s="4">
        <v>22597106.41</v>
      </c>
      <c r="F65" s="4">
        <v>35656890</v>
      </c>
      <c r="G65" s="14">
        <v>28390583.100000001</v>
      </c>
      <c r="H65" s="4">
        <v>9571550</v>
      </c>
    </row>
    <row r="66" spans="1:8">
      <c r="A66" s="58" t="s">
        <v>19</v>
      </c>
      <c r="B66" s="4">
        <v>13530481</v>
      </c>
      <c r="C66" s="4">
        <v>10487813</v>
      </c>
      <c r="D66" s="4">
        <v>9193901.7599999998</v>
      </c>
      <c r="F66" s="4">
        <v>13730306</v>
      </c>
      <c r="G66" s="14">
        <f>8824837.75+G67</f>
        <v>12775132.449999999</v>
      </c>
      <c r="H66" s="4">
        <v>3893456</v>
      </c>
    </row>
    <row r="67" spans="1:8">
      <c r="A67" s="68" t="s">
        <v>13</v>
      </c>
      <c r="B67" s="4">
        <v>3646070</v>
      </c>
      <c r="C67" s="4">
        <v>2695645</v>
      </c>
      <c r="D67" s="4">
        <v>2877967.52</v>
      </c>
      <c r="F67" s="4">
        <v>4197785</v>
      </c>
      <c r="G67" s="14">
        <v>3950294.7</v>
      </c>
      <c r="H67" s="4">
        <v>623774</v>
      </c>
    </row>
    <row r="68" spans="1:8">
      <c r="A68" s="58" t="s">
        <v>21</v>
      </c>
      <c r="B68" s="57">
        <v>0.26947083403760741</v>
      </c>
      <c r="C68" s="57">
        <v>0.25702641723303038</v>
      </c>
      <c r="D68" s="57">
        <v>0.31303004917033178</v>
      </c>
      <c r="E68" s="61" t="e">
        <f t="shared" ref="E68:G68" si="24">E67/E66</f>
        <v>#DIV/0!</v>
      </c>
      <c r="F68" s="61">
        <f t="shared" si="24"/>
        <v>0.30573135077980051</v>
      </c>
      <c r="G68" s="61">
        <f t="shared" si="24"/>
        <v>0.30921751421841426</v>
      </c>
      <c r="H68" s="61">
        <f>H67/H66</f>
        <v>0.16021087691757657</v>
      </c>
    </row>
    <row r="69" spans="1:8">
      <c r="A69" s="58" t="s">
        <v>353</v>
      </c>
      <c r="B69" s="57">
        <f>B66/B65</f>
        <v>0.44649269030331878</v>
      </c>
      <c r="C69" s="57">
        <f t="shared" ref="C69:H69" si="25">C66/C65</f>
        <v>0.36359732999424293</v>
      </c>
      <c r="D69" s="57">
        <f t="shared" si="25"/>
        <v>0.40686190493537616</v>
      </c>
      <c r="E69" s="57" t="e">
        <f t="shared" si="25"/>
        <v>#DIV/0!</v>
      </c>
      <c r="F69" s="57">
        <f t="shared" si="25"/>
        <v>0.38506740212059998</v>
      </c>
      <c r="G69" s="57">
        <f t="shared" si="25"/>
        <v>0.44997781148073701</v>
      </c>
      <c r="H69" s="57">
        <f t="shared" si="25"/>
        <v>0.40677382451118155</v>
      </c>
    </row>
    <row r="70" spans="1:8">
      <c r="A70" s="67" t="s">
        <v>22</v>
      </c>
      <c r="B70">
        <v>158</v>
      </c>
      <c r="C70">
        <v>147</v>
      </c>
      <c r="D70">
        <v>107</v>
      </c>
      <c r="F70" s="4">
        <v>215</v>
      </c>
      <c r="G70">
        <v>160</v>
      </c>
      <c r="H70">
        <v>3279</v>
      </c>
    </row>
    <row r="71" spans="1:8">
      <c r="B71" s="4">
        <f>B66/B70</f>
        <v>85635.955696202538</v>
      </c>
      <c r="C71" s="4">
        <f t="shared" ref="C71:D71" si="26">C66/C70</f>
        <v>71345.666666666672</v>
      </c>
      <c r="D71" s="4">
        <f t="shared" si="26"/>
        <v>85924.315514018686</v>
      </c>
      <c r="E71" s="4" t="e">
        <f t="shared" ref="E71" si="27">E66/E70</f>
        <v>#DIV/0!</v>
      </c>
      <c r="F71" s="4">
        <f t="shared" ref="F71" si="28">F66/F70</f>
        <v>63861.888372093024</v>
      </c>
      <c r="G71" s="4">
        <f t="shared" ref="G71" si="29">G66/G70</f>
        <v>79844.577812499992</v>
      </c>
      <c r="H71">
        <f>(H66-H67)/H70</f>
        <v>997.15827996340352</v>
      </c>
    </row>
    <row r="72" spans="1:8">
      <c r="B72" s="57">
        <f>SUM(B60:B62)/(M21*1000)</f>
        <v>1.0860740747580581E-2</v>
      </c>
    </row>
  </sheetData>
  <autoFilter ref="V13:AC32">
    <sortState ref="V14:AB42">
      <sortCondition ref="V13:V32"/>
    </sortState>
  </autoFilter>
  <sortState ref="U43:V62">
    <sortCondition ref="U43:U62"/>
  </sortState>
  <pageMargins left="0.7" right="0.7" top="0.78740157499999996" bottom="0.78740157499999996" header="0.3" footer="0.3"/>
  <pageSetup paperSize="9" orientation="portrait" horizontalDpi="4294967293" verticalDpi="4294967293"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workbookViewId="0">
      <pane xSplit="1" ySplit="10" topLeftCell="I32" activePane="bottomRight" state="frozen"/>
      <selection pane="topRight"/>
      <selection pane="bottomLeft"/>
      <selection pane="bottomRight" activeCell="X14" sqref="X14:X52"/>
    </sheetView>
  </sheetViews>
  <sheetFormatPr baseColWidth="10" defaultColWidth="8.88671875" defaultRowHeight="11.4" customHeight="1"/>
  <cols>
    <col min="1" max="1" width="29.88671875" style="167" customWidth="1"/>
    <col min="2" max="2" width="10" style="167" customWidth="1"/>
    <col min="3" max="3" width="5" style="167" customWidth="1"/>
    <col min="4" max="4" width="10" style="167" customWidth="1"/>
    <col min="5" max="5" width="5" style="167" customWidth="1"/>
    <col min="6" max="6" width="10" style="167" customWidth="1"/>
    <col min="7" max="7" width="5" style="167" customWidth="1"/>
    <col min="8" max="8" width="10" style="167" customWidth="1"/>
    <col min="9" max="9" width="5" style="167" customWidth="1"/>
    <col min="10" max="10" width="10" style="167" customWidth="1"/>
    <col min="11" max="11" width="5" style="167" customWidth="1"/>
    <col min="12" max="12" width="10" style="167" customWidth="1"/>
    <col min="13" max="13" width="5" style="167" customWidth="1"/>
    <col min="14" max="14" width="10" style="167" customWidth="1"/>
    <col min="15" max="15" width="5" style="167" customWidth="1"/>
    <col min="16" max="16" width="10" style="167" customWidth="1"/>
    <col min="17" max="17" width="5" style="167" customWidth="1"/>
    <col min="18" max="18" width="10" style="167" customWidth="1"/>
    <col min="19" max="19" width="5" style="167" customWidth="1"/>
    <col min="20" max="20" width="10" style="167" customWidth="1"/>
    <col min="21" max="21" width="5" style="167" customWidth="1"/>
    <col min="22" max="22" width="10" style="167" customWidth="1"/>
    <col min="23" max="23" width="5" style="167" customWidth="1"/>
    <col min="24" max="24" width="10" style="167" customWidth="1"/>
    <col min="25" max="25" width="5" style="167" customWidth="1"/>
    <col min="26" max="16384" width="8.88671875" style="167"/>
  </cols>
  <sheetData>
    <row r="1" spans="1:25">
      <c r="A1" s="166" t="s">
        <v>372</v>
      </c>
    </row>
    <row r="2" spans="1:25">
      <c r="A2" s="166" t="s">
        <v>373</v>
      </c>
      <c r="B2" s="168" t="s">
        <v>374</v>
      </c>
    </row>
    <row r="3" spans="1:25">
      <c r="A3" s="166" t="s">
        <v>375</v>
      </c>
      <c r="B3" s="166" t="s">
        <v>376</v>
      </c>
    </row>
    <row r="5" spans="1:25">
      <c r="A5" s="168" t="s">
        <v>377</v>
      </c>
      <c r="C5" s="166" t="s">
        <v>378</v>
      </c>
    </row>
    <row r="6" spans="1:25">
      <c r="A6" s="168" t="s">
        <v>379</v>
      </c>
      <c r="C6" s="166" t="s">
        <v>380</v>
      </c>
    </row>
    <row r="7" spans="1:25">
      <c r="A7" s="168" t="s">
        <v>381</v>
      </c>
      <c r="C7" s="166" t="s">
        <v>382</v>
      </c>
    </row>
    <row r="9" spans="1:25">
      <c r="A9" s="169" t="s">
        <v>383</v>
      </c>
      <c r="B9" s="233" t="s">
        <v>384</v>
      </c>
      <c r="C9" s="233" t="s">
        <v>385</v>
      </c>
      <c r="D9" s="233" t="s">
        <v>386</v>
      </c>
      <c r="E9" s="233" t="s">
        <v>385</v>
      </c>
      <c r="F9" s="233" t="s">
        <v>387</v>
      </c>
      <c r="G9" s="233" t="s">
        <v>385</v>
      </c>
      <c r="H9" s="233" t="s">
        <v>388</v>
      </c>
      <c r="I9" s="233" t="s">
        <v>385</v>
      </c>
      <c r="J9" s="233" t="s">
        <v>389</v>
      </c>
      <c r="K9" s="233" t="s">
        <v>385</v>
      </c>
      <c r="L9" s="233" t="s">
        <v>0</v>
      </c>
      <c r="M9" s="233" t="s">
        <v>385</v>
      </c>
      <c r="N9" s="233" t="s">
        <v>1</v>
      </c>
      <c r="O9" s="233" t="s">
        <v>385</v>
      </c>
      <c r="P9" s="233" t="s">
        <v>2</v>
      </c>
      <c r="Q9" s="233" t="s">
        <v>385</v>
      </c>
      <c r="R9" s="233" t="s">
        <v>3</v>
      </c>
      <c r="S9" s="233" t="s">
        <v>385</v>
      </c>
      <c r="T9" s="233" t="s">
        <v>4</v>
      </c>
      <c r="U9" s="233" t="s">
        <v>385</v>
      </c>
      <c r="V9" s="233" t="s">
        <v>365</v>
      </c>
      <c r="W9" s="233" t="s">
        <v>385</v>
      </c>
      <c r="X9" s="233" t="s">
        <v>366</v>
      </c>
      <c r="Y9" s="233" t="s">
        <v>385</v>
      </c>
    </row>
    <row r="10" spans="1:25">
      <c r="A10" s="170" t="s">
        <v>390</v>
      </c>
      <c r="B10" s="171" t="s">
        <v>385</v>
      </c>
      <c r="C10" s="171" t="s">
        <v>385</v>
      </c>
      <c r="D10" s="171" t="s">
        <v>385</v>
      </c>
      <c r="E10" s="171" t="s">
        <v>385</v>
      </c>
      <c r="F10" s="171" t="s">
        <v>385</v>
      </c>
      <c r="G10" s="171" t="s">
        <v>385</v>
      </c>
      <c r="H10" s="171" t="s">
        <v>385</v>
      </c>
      <c r="I10" s="171" t="s">
        <v>385</v>
      </c>
      <c r="J10" s="171" t="s">
        <v>385</v>
      </c>
      <c r="K10" s="171" t="s">
        <v>385</v>
      </c>
      <c r="L10" s="171" t="s">
        <v>385</v>
      </c>
      <c r="M10" s="171" t="s">
        <v>385</v>
      </c>
      <c r="N10" s="171" t="s">
        <v>385</v>
      </c>
      <c r="O10" s="171" t="s">
        <v>385</v>
      </c>
      <c r="P10" s="171" t="s">
        <v>385</v>
      </c>
      <c r="Q10" s="171" t="s">
        <v>385</v>
      </c>
      <c r="R10" s="171" t="s">
        <v>385</v>
      </c>
      <c r="S10" s="171" t="s">
        <v>385</v>
      </c>
      <c r="T10" s="171" t="s">
        <v>385</v>
      </c>
      <c r="U10" s="171" t="s">
        <v>385</v>
      </c>
      <c r="V10" s="171" t="s">
        <v>385</v>
      </c>
      <c r="W10" s="171" t="s">
        <v>385</v>
      </c>
      <c r="X10" s="171" t="s">
        <v>385</v>
      </c>
      <c r="Y10" s="171" t="s">
        <v>385</v>
      </c>
    </row>
    <row r="11" spans="1:25">
      <c r="A11" s="172" t="s">
        <v>391</v>
      </c>
      <c r="B11" s="173">
        <v>11328410.9</v>
      </c>
      <c r="C11" s="174" t="s">
        <v>385</v>
      </c>
      <c r="D11" s="173">
        <v>11396052.5</v>
      </c>
      <c r="E11" s="174" t="s">
        <v>385</v>
      </c>
      <c r="F11" s="173">
        <v>11516038.9</v>
      </c>
      <c r="G11" s="174" t="s">
        <v>385</v>
      </c>
      <c r="H11" s="173">
        <v>11782469.9</v>
      </c>
      <c r="I11" s="174" t="s">
        <v>385</v>
      </c>
      <c r="J11" s="173">
        <v>12215676.800000001</v>
      </c>
      <c r="K11" s="174" t="s">
        <v>385</v>
      </c>
      <c r="L11" s="173">
        <v>12548225.199999999</v>
      </c>
      <c r="M11" s="174" t="s">
        <v>385</v>
      </c>
      <c r="N11" s="175">
        <v>13075598</v>
      </c>
      <c r="O11" s="174" t="s">
        <v>385</v>
      </c>
      <c r="P11" s="173">
        <v>13534230.1</v>
      </c>
      <c r="Q11" s="174" t="s">
        <v>385</v>
      </c>
      <c r="R11" s="173">
        <v>14019590.6</v>
      </c>
      <c r="S11" s="174" t="s">
        <v>385</v>
      </c>
      <c r="T11" s="173">
        <v>13469533.300000001</v>
      </c>
      <c r="U11" s="174" t="s">
        <v>385</v>
      </c>
      <c r="V11" s="173">
        <v>14582979.6</v>
      </c>
      <c r="W11" s="174" t="s">
        <v>385</v>
      </c>
      <c r="X11" s="173">
        <v>15844247.699999999</v>
      </c>
      <c r="Y11" s="174" t="s">
        <v>385</v>
      </c>
    </row>
    <row r="12" spans="1:25">
      <c r="A12" s="172" t="s">
        <v>392</v>
      </c>
      <c r="B12" s="176">
        <v>9843290</v>
      </c>
      <c r="C12" s="177" t="s">
        <v>385</v>
      </c>
      <c r="D12" s="178">
        <v>9881636.3000000007</v>
      </c>
      <c r="E12" s="177" t="s">
        <v>385</v>
      </c>
      <c r="F12" s="178">
        <v>9980408.8000000007</v>
      </c>
      <c r="G12" s="177" t="s">
        <v>385</v>
      </c>
      <c r="H12" s="176">
        <v>10213833</v>
      </c>
      <c r="I12" s="177" t="s">
        <v>385</v>
      </c>
      <c r="J12" s="178">
        <v>10568880.5</v>
      </c>
      <c r="K12" s="177" t="s">
        <v>385</v>
      </c>
      <c r="L12" s="178">
        <v>10864152.1</v>
      </c>
      <c r="M12" s="177" t="s">
        <v>385</v>
      </c>
      <c r="N12" s="178">
        <v>11274903.9</v>
      </c>
      <c r="O12" s="177" t="s">
        <v>385</v>
      </c>
      <c r="P12" s="178">
        <v>11652901.6</v>
      </c>
      <c r="Q12" s="177" t="s">
        <v>385</v>
      </c>
      <c r="R12" s="178">
        <v>12042785.1</v>
      </c>
      <c r="S12" s="177" t="s">
        <v>385</v>
      </c>
      <c r="T12" s="178">
        <v>11515676.5</v>
      </c>
      <c r="U12" s="177" t="s">
        <v>385</v>
      </c>
      <c r="V12" s="178">
        <v>12418186.300000001</v>
      </c>
      <c r="W12" s="177" t="s">
        <v>385</v>
      </c>
      <c r="X12" s="178">
        <v>13427276.4</v>
      </c>
      <c r="Y12" s="177" t="s">
        <v>385</v>
      </c>
    </row>
    <row r="13" spans="1:25">
      <c r="A13" s="172" t="s">
        <v>393</v>
      </c>
      <c r="B13" s="173">
        <v>9797740.1999999993</v>
      </c>
      <c r="C13" s="174" t="s">
        <v>385</v>
      </c>
      <c r="D13" s="173">
        <v>9837015.0999999996</v>
      </c>
      <c r="E13" s="174" t="s">
        <v>385</v>
      </c>
      <c r="F13" s="173">
        <v>9935971.6999999993</v>
      </c>
      <c r="G13" s="174" t="s">
        <v>385</v>
      </c>
      <c r="H13" s="173">
        <v>10169843.9</v>
      </c>
      <c r="I13" s="174" t="s">
        <v>385</v>
      </c>
      <c r="J13" s="173">
        <v>10523622.5</v>
      </c>
      <c r="K13" s="174" t="s">
        <v>385</v>
      </c>
      <c r="L13" s="173">
        <v>10816813.4</v>
      </c>
      <c r="M13" s="174" t="s">
        <v>385</v>
      </c>
      <c r="N13" s="175">
        <v>11224918</v>
      </c>
      <c r="O13" s="174" t="s">
        <v>385</v>
      </c>
      <c r="P13" s="173">
        <v>11600154.4</v>
      </c>
      <c r="Q13" s="174" t="s">
        <v>385</v>
      </c>
      <c r="R13" s="173">
        <v>11987140.699999999</v>
      </c>
      <c r="S13" s="174" t="s">
        <v>385</v>
      </c>
      <c r="T13" s="173">
        <v>11465225.6</v>
      </c>
      <c r="U13" s="174" t="s">
        <v>385</v>
      </c>
      <c r="V13" s="173">
        <v>12359895.300000001</v>
      </c>
      <c r="W13" s="174" t="s">
        <v>385</v>
      </c>
      <c r="X13" s="173">
        <v>13360337.4</v>
      </c>
      <c r="Y13" s="174" t="s">
        <v>385</v>
      </c>
    </row>
    <row r="14" spans="1:25">
      <c r="A14" s="172" t="s">
        <v>360</v>
      </c>
      <c r="B14" s="178">
        <v>375967.8</v>
      </c>
      <c r="C14" s="177" t="s">
        <v>385</v>
      </c>
      <c r="D14" s="178">
        <v>386174.7</v>
      </c>
      <c r="E14" s="177" t="s">
        <v>385</v>
      </c>
      <c r="F14" s="176">
        <v>392880</v>
      </c>
      <c r="G14" s="177" t="s">
        <v>385</v>
      </c>
      <c r="H14" s="178">
        <v>403003.3</v>
      </c>
      <c r="I14" s="177" t="s">
        <v>385</v>
      </c>
      <c r="J14" s="178">
        <v>416701.4</v>
      </c>
      <c r="K14" s="177" t="s">
        <v>385</v>
      </c>
      <c r="L14" s="178">
        <v>430085.3</v>
      </c>
      <c r="M14" s="177" t="s">
        <v>385</v>
      </c>
      <c r="N14" s="178">
        <v>445050.1</v>
      </c>
      <c r="O14" s="177" t="s">
        <v>385</v>
      </c>
      <c r="P14" s="178">
        <v>460050.8</v>
      </c>
      <c r="Q14" s="177" t="s">
        <v>385</v>
      </c>
      <c r="R14" s="178">
        <v>478676.1</v>
      </c>
      <c r="S14" s="177" t="s">
        <v>385</v>
      </c>
      <c r="T14" s="178">
        <v>459827.4</v>
      </c>
      <c r="U14" s="177" t="s">
        <v>394</v>
      </c>
      <c r="V14" s="178">
        <v>502521.1</v>
      </c>
      <c r="W14" s="177" t="s">
        <v>394</v>
      </c>
      <c r="X14" s="178">
        <v>549456.19999999995</v>
      </c>
      <c r="Y14" s="177" t="s">
        <v>394</v>
      </c>
    </row>
    <row r="15" spans="1:25">
      <c r="A15" s="172" t="s">
        <v>395</v>
      </c>
      <c r="B15" s="173">
        <v>41478.9</v>
      </c>
      <c r="C15" s="174" t="s">
        <v>385</v>
      </c>
      <c r="D15" s="173">
        <v>42256.800000000003</v>
      </c>
      <c r="E15" s="174" t="s">
        <v>385</v>
      </c>
      <c r="F15" s="173">
        <v>42050.2</v>
      </c>
      <c r="G15" s="174" t="s">
        <v>385</v>
      </c>
      <c r="H15" s="175">
        <v>43026</v>
      </c>
      <c r="I15" s="174" t="s">
        <v>385</v>
      </c>
      <c r="J15" s="173">
        <v>45812.3</v>
      </c>
      <c r="K15" s="174" t="s">
        <v>385</v>
      </c>
      <c r="L15" s="173">
        <v>48773.1</v>
      </c>
      <c r="M15" s="174" t="s">
        <v>385</v>
      </c>
      <c r="N15" s="173">
        <v>52531.3</v>
      </c>
      <c r="O15" s="174" t="s">
        <v>385</v>
      </c>
      <c r="P15" s="173">
        <v>56224.800000000003</v>
      </c>
      <c r="Q15" s="174" t="s">
        <v>385</v>
      </c>
      <c r="R15" s="173">
        <v>61558.5</v>
      </c>
      <c r="S15" s="174" t="s">
        <v>385</v>
      </c>
      <c r="T15" s="173">
        <v>61638.9</v>
      </c>
      <c r="U15" s="174" t="s">
        <v>385</v>
      </c>
      <c r="V15" s="175">
        <v>71077</v>
      </c>
      <c r="W15" s="174" t="s">
        <v>385</v>
      </c>
      <c r="X15" s="173">
        <v>84560.6</v>
      </c>
      <c r="Y15" s="174" t="s">
        <v>394</v>
      </c>
    </row>
    <row r="16" spans="1:25">
      <c r="A16" s="172" t="s">
        <v>396</v>
      </c>
      <c r="B16" s="178">
        <v>165202.20000000001</v>
      </c>
      <c r="C16" s="177" t="s">
        <v>385</v>
      </c>
      <c r="D16" s="178">
        <v>162587.5</v>
      </c>
      <c r="E16" s="177" t="s">
        <v>385</v>
      </c>
      <c r="F16" s="178">
        <v>159461.5</v>
      </c>
      <c r="G16" s="177" t="s">
        <v>385</v>
      </c>
      <c r="H16" s="178">
        <v>157821.29999999999</v>
      </c>
      <c r="I16" s="177" t="s">
        <v>385</v>
      </c>
      <c r="J16" s="178">
        <v>169558.2</v>
      </c>
      <c r="K16" s="177" t="s">
        <v>385</v>
      </c>
      <c r="L16" s="178">
        <v>177438.5</v>
      </c>
      <c r="M16" s="177" t="s">
        <v>385</v>
      </c>
      <c r="N16" s="178">
        <v>194132.9</v>
      </c>
      <c r="O16" s="177" t="s">
        <v>385</v>
      </c>
      <c r="P16" s="178">
        <v>210970.5</v>
      </c>
      <c r="Q16" s="177" t="s">
        <v>385</v>
      </c>
      <c r="R16" s="178">
        <v>225613.5</v>
      </c>
      <c r="S16" s="177" t="s">
        <v>385</v>
      </c>
      <c r="T16" s="178">
        <v>215805.4</v>
      </c>
      <c r="U16" s="177" t="s">
        <v>385</v>
      </c>
      <c r="V16" s="178">
        <v>238249.5</v>
      </c>
      <c r="W16" s="177" t="s">
        <v>385</v>
      </c>
      <c r="X16" s="178">
        <v>276229.40000000002</v>
      </c>
      <c r="Y16" s="177" t="s">
        <v>385</v>
      </c>
    </row>
    <row r="17" spans="1:25">
      <c r="A17" s="172" t="s">
        <v>362</v>
      </c>
      <c r="B17" s="173">
        <v>247879.9</v>
      </c>
      <c r="C17" s="174" t="s">
        <v>385</v>
      </c>
      <c r="D17" s="175">
        <v>254578</v>
      </c>
      <c r="E17" s="174" t="s">
        <v>385</v>
      </c>
      <c r="F17" s="173">
        <v>258742.7</v>
      </c>
      <c r="G17" s="174" t="s">
        <v>385</v>
      </c>
      <c r="H17" s="175">
        <v>265757</v>
      </c>
      <c r="I17" s="174" t="s">
        <v>385</v>
      </c>
      <c r="J17" s="173">
        <v>273017.59999999998</v>
      </c>
      <c r="K17" s="174" t="s">
        <v>385</v>
      </c>
      <c r="L17" s="173">
        <v>283109.7</v>
      </c>
      <c r="M17" s="174" t="s">
        <v>385</v>
      </c>
      <c r="N17" s="173">
        <v>294808.2</v>
      </c>
      <c r="O17" s="174" t="s">
        <v>385</v>
      </c>
      <c r="P17" s="173">
        <v>302328.7</v>
      </c>
      <c r="Q17" s="174" t="s">
        <v>385</v>
      </c>
      <c r="R17" s="173">
        <v>309526.40000000002</v>
      </c>
      <c r="S17" s="174" t="s">
        <v>385</v>
      </c>
      <c r="T17" s="173">
        <v>311356.3</v>
      </c>
      <c r="U17" s="174" t="s">
        <v>385</v>
      </c>
      <c r="V17" s="173">
        <v>342961.7</v>
      </c>
      <c r="W17" s="174" t="s">
        <v>385</v>
      </c>
      <c r="X17" s="173">
        <v>380617.8</v>
      </c>
      <c r="Y17" s="174" t="s">
        <v>385</v>
      </c>
    </row>
    <row r="18" spans="1:25">
      <c r="A18" s="172" t="s">
        <v>94</v>
      </c>
      <c r="B18" s="176">
        <v>2693560</v>
      </c>
      <c r="C18" s="177" t="s">
        <v>385</v>
      </c>
      <c r="D18" s="176">
        <v>2745310</v>
      </c>
      <c r="E18" s="177" t="s">
        <v>385</v>
      </c>
      <c r="F18" s="176">
        <v>2811350</v>
      </c>
      <c r="G18" s="177" t="s">
        <v>385</v>
      </c>
      <c r="H18" s="176">
        <v>2927430</v>
      </c>
      <c r="I18" s="177" t="s">
        <v>385</v>
      </c>
      <c r="J18" s="176">
        <v>3026180</v>
      </c>
      <c r="K18" s="177" t="s">
        <v>385</v>
      </c>
      <c r="L18" s="176">
        <v>3134740</v>
      </c>
      <c r="M18" s="177" t="s">
        <v>385</v>
      </c>
      <c r="N18" s="176">
        <v>3267160</v>
      </c>
      <c r="O18" s="177" t="s">
        <v>385</v>
      </c>
      <c r="P18" s="176">
        <v>3365450</v>
      </c>
      <c r="Q18" s="177" t="s">
        <v>385</v>
      </c>
      <c r="R18" s="176">
        <v>3474110</v>
      </c>
      <c r="S18" s="177" t="s">
        <v>394</v>
      </c>
      <c r="T18" s="176">
        <v>3403730</v>
      </c>
      <c r="U18" s="177" t="s">
        <v>394</v>
      </c>
      <c r="V18" s="176">
        <v>3617450</v>
      </c>
      <c r="W18" s="177" t="s">
        <v>394</v>
      </c>
      <c r="X18" s="176">
        <v>3876810</v>
      </c>
      <c r="Y18" s="177" t="s">
        <v>394</v>
      </c>
    </row>
    <row r="19" spans="1:25">
      <c r="A19" s="172" t="s">
        <v>397</v>
      </c>
      <c r="B19" s="173">
        <v>16677.3</v>
      </c>
      <c r="C19" s="174" t="s">
        <v>385</v>
      </c>
      <c r="D19" s="173">
        <v>17916.7</v>
      </c>
      <c r="E19" s="174" t="s">
        <v>385</v>
      </c>
      <c r="F19" s="173">
        <v>18910.8</v>
      </c>
      <c r="G19" s="174" t="s">
        <v>385</v>
      </c>
      <c r="H19" s="173">
        <v>20048.2</v>
      </c>
      <c r="I19" s="174" t="s">
        <v>385</v>
      </c>
      <c r="J19" s="173">
        <v>20631.400000000001</v>
      </c>
      <c r="K19" s="174" t="s">
        <v>385</v>
      </c>
      <c r="L19" s="173">
        <v>21747.9</v>
      </c>
      <c r="M19" s="174" t="s">
        <v>385</v>
      </c>
      <c r="N19" s="173">
        <v>23833.599999999999</v>
      </c>
      <c r="O19" s="174" t="s">
        <v>385</v>
      </c>
      <c r="P19" s="173">
        <v>25932.2</v>
      </c>
      <c r="Q19" s="174" t="s">
        <v>385</v>
      </c>
      <c r="R19" s="175">
        <v>27951</v>
      </c>
      <c r="S19" s="174" t="s">
        <v>385</v>
      </c>
      <c r="T19" s="175">
        <v>27430</v>
      </c>
      <c r="U19" s="174" t="s">
        <v>385</v>
      </c>
      <c r="V19" s="175">
        <v>31169</v>
      </c>
      <c r="W19" s="174" t="s">
        <v>385</v>
      </c>
      <c r="X19" s="173">
        <v>36011.1</v>
      </c>
      <c r="Y19" s="174" t="s">
        <v>385</v>
      </c>
    </row>
    <row r="20" spans="1:25">
      <c r="A20" s="172" t="s">
        <v>398</v>
      </c>
      <c r="B20" s="178">
        <v>171823.5</v>
      </c>
      <c r="C20" s="177" t="s">
        <v>385</v>
      </c>
      <c r="D20" s="178">
        <v>175218.5</v>
      </c>
      <c r="E20" s="177" t="s">
        <v>385</v>
      </c>
      <c r="F20" s="178">
        <v>179285.6</v>
      </c>
      <c r="G20" s="177" t="s">
        <v>385</v>
      </c>
      <c r="H20" s="178">
        <v>195469.9</v>
      </c>
      <c r="I20" s="177" t="s">
        <v>385</v>
      </c>
      <c r="J20" s="178">
        <v>263506.8</v>
      </c>
      <c r="K20" s="177" t="s">
        <v>385</v>
      </c>
      <c r="L20" s="178">
        <v>269724.79999999999</v>
      </c>
      <c r="M20" s="177" t="s">
        <v>385</v>
      </c>
      <c r="N20" s="178">
        <v>298528.3</v>
      </c>
      <c r="O20" s="177" t="s">
        <v>385</v>
      </c>
      <c r="P20" s="178">
        <v>327441.40000000002</v>
      </c>
      <c r="Q20" s="177" t="s">
        <v>385</v>
      </c>
      <c r="R20" s="178">
        <v>356357.4</v>
      </c>
      <c r="S20" s="177" t="s">
        <v>385</v>
      </c>
      <c r="T20" s="178">
        <v>375249.6</v>
      </c>
      <c r="U20" s="177" t="s">
        <v>385</v>
      </c>
      <c r="V20" s="178">
        <v>434069.7</v>
      </c>
      <c r="W20" s="177" t="s">
        <v>385</v>
      </c>
      <c r="X20" s="178">
        <v>506282.4</v>
      </c>
      <c r="Y20" s="177" t="s">
        <v>385</v>
      </c>
    </row>
    <row r="21" spans="1:25">
      <c r="A21" s="172" t="s">
        <v>399</v>
      </c>
      <c r="B21" s="173">
        <v>203308.2</v>
      </c>
      <c r="C21" s="174" t="s">
        <v>385</v>
      </c>
      <c r="D21" s="173">
        <v>188380.6</v>
      </c>
      <c r="E21" s="174" t="s">
        <v>385</v>
      </c>
      <c r="F21" s="173">
        <v>179884.4</v>
      </c>
      <c r="G21" s="174" t="s">
        <v>385</v>
      </c>
      <c r="H21" s="175">
        <v>177236</v>
      </c>
      <c r="I21" s="174" t="s">
        <v>385</v>
      </c>
      <c r="J21" s="173">
        <v>176368.9</v>
      </c>
      <c r="K21" s="174" t="s">
        <v>385</v>
      </c>
      <c r="L21" s="173">
        <v>174494.2</v>
      </c>
      <c r="M21" s="174" t="s">
        <v>385</v>
      </c>
      <c r="N21" s="173">
        <v>176903.4</v>
      </c>
      <c r="O21" s="174" t="s">
        <v>385</v>
      </c>
      <c r="P21" s="173">
        <v>179557.7</v>
      </c>
      <c r="Q21" s="174" t="s">
        <v>385</v>
      </c>
      <c r="R21" s="173">
        <v>183351.2</v>
      </c>
      <c r="S21" s="174" t="s">
        <v>385</v>
      </c>
      <c r="T21" s="173">
        <v>165405.9</v>
      </c>
      <c r="U21" s="174" t="s">
        <v>394</v>
      </c>
      <c r="V21" s="173">
        <v>181674.6</v>
      </c>
      <c r="W21" s="174" t="s">
        <v>394</v>
      </c>
      <c r="X21" s="173">
        <v>208030.2</v>
      </c>
      <c r="Y21" s="174" t="s">
        <v>394</v>
      </c>
    </row>
    <row r="22" spans="1:25">
      <c r="A22" s="172" t="s">
        <v>400</v>
      </c>
      <c r="B22" s="176">
        <v>1063763</v>
      </c>
      <c r="C22" s="177" t="s">
        <v>385</v>
      </c>
      <c r="D22" s="176">
        <v>1031104</v>
      </c>
      <c r="E22" s="177" t="s">
        <v>385</v>
      </c>
      <c r="F22" s="176">
        <v>1020677</v>
      </c>
      <c r="G22" s="177" t="s">
        <v>385</v>
      </c>
      <c r="H22" s="176">
        <v>1032608</v>
      </c>
      <c r="I22" s="177" t="s">
        <v>385</v>
      </c>
      <c r="J22" s="176">
        <v>1078092</v>
      </c>
      <c r="K22" s="177" t="s">
        <v>385</v>
      </c>
      <c r="L22" s="176">
        <v>1114420</v>
      </c>
      <c r="M22" s="177" t="s">
        <v>385</v>
      </c>
      <c r="N22" s="176">
        <v>1162492</v>
      </c>
      <c r="O22" s="177" t="s">
        <v>385</v>
      </c>
      <c r="P22" s="176">
        <v>1203859</v>
      </c>
      <c r="Q22" s="177" t="s">
        <v>385</v>
      </c>
      <c r="R22" s="176">
        <v>1245513</v>
      </c>
      <c r="S22" s="177" t="s">
        <v>385</v>
      </c>
      <c r="T22" s="176">
        <v>1117989</v>
      </c>
      <c r="U22" s="177" t="s">
        <v>394</v>
      </c>
      <c r="V22" s="176">
        <v>1206842</v>
      </c>
      <c r="W22" s="177" t="s">
        <v>394</v>
      </c>
      <c r="X22" s="176">
        <v>1327108</v>
      </c>
      <c r="Y22" s="177" t="s">
        <v>394</v>
      </c>
    </row>
    <row r="23" spans="1:25">
      <c r="A23" s="172" t="s">
        <v>358</v>
      </c>
      <c r="B23" s="175">
        <v>2058369</v>
      </c>
      <c r="C23" s="174" t="s">
        <v>385</v>
      </c>
      <c r="D23" s="175">
        <v>2088804</v>
      </c>
      <c r="E23" s="174" t="s">
        <v>385</v>
      </c>
      <c r="F23" s="175">
        <v>2117189</v>
      </c>
      <c r="G23" s="174" t="s">
        <v>385</v>
      </c>
      <c r="H23" s="175">
        <v>2149765</v>
      </c>
      <c r="I23" s="174" t="s">
        <v>385</v>
      </c>
      <c r="J23" s="175">
        <v>2198432</v>
      </c>
      <c r="K23" s="174" t="s">
        <v>385</v>
      </c>
      <c r="L23" s="175">
        <v>2234129</v>
      </c>
      <c r="M23" s="174" t="s">
        <v>385</v>
      </c>
      <c r="N23" s="175">
        <v>2297242</v>
      </c>
      <c r="O23" s="174" t="s">
        <v>385</v>
      </c>
      <c r="P23" s="175">
        <v>2363306</v>
      </c>
      <c r="Q23" s="174" t="s">
        <v>385</v>
      </c>
      <c r="R23" s="175">
        <v>2437635</v>
      </c>
      <c r="S23" s="174" t="s">
        <v>385</v>
      </c>
      <c r="T23" s="175">
        <v>2317832</v>
      </c>
      <c r="U23" s="174" t="s">
        <v>385</v>
      </c>
      <c r="V23" s="175">
        <v>2502118</v>
      </c>
      <c r="W23" s="174" t="s">
        <v>394</v>
      </c>
      <c r="X23" s="175">
        <v>2639092</v>
      </c>
      <c r="Y23" s="174" t="s">
        <v>394</v>
      </c>
    </row>
    <row r="24" spans="1:25">
      <c r="A24" s="172" t="s">
        <v>401</v>
      </c>
      <c r="B24" s="178">
        <v>45549.9</v>
      </c>
      <c r="C24" s="177" t="s">
        <v>385</v>
      </c>
      <c r="D24" s="178">
        <v>44621.2</v>
      </c>
      <c r="E24" s="177" t="s">
        <v>385</v>
      </c>
      <c r="F24" s="178">
        <v>44437.1</v>
      </c>
      <c r="G24" s="177" t="s">
        <v>385</v>
      </c>
      <c r="H24" s="178">
        <v>43989.1</v>
      </c>
      <c r="I24" s="177" t="s">
        <v>385</v>
      </c>
      <c r="J24" s="178">
        <v>45257.9</v>
      </c>
      <c r="K24" s="177" t="s">
        <v>385</v>
      </c>
      <c r="L24" s="178">
        <v>47338.7</v>
      </c>
      <c r="M24" s="177" t="s">
        <v>385</v>
      </c>
      <c r="N24" s="178">
        <v>49985.9</v>
      </c>
      <c r="O24" s="177" t="s">
        <v>385</v>
      </c>
      <c r="P24" s="178">
        <v>52747.199999999997</v>
      </c>
      <c r="Q24" s="177" t="s">
        <v>385</v>
      </c>
      <c r="R24" s="178">
        <v>55644.4</v>
      </c>
      <c r="S24" s="177" t="s">
        <v>385</v>
      </c>
      <c r="T24" s="178">
        <v>50450.9</v>
      </c>
      <c r="U24" s="177" t="s">
        <v>385</v>
      </c>
      <c r="V24" s="178">
        <v>58290.9</v>
      </c>
      <c r="W24" s="177" t="s">
        <v>394</v>
      </c>
      <c r="X24" s="176">
        <v>66939</v>
      </c>
      <c r="Y24" s="177" t="s">
        <v>394</v>
      </c>
    </row>
    <row r="25" spans="1:25">
      <c r="A25" s="172" t="s">
        <v>402</v>
      </c>
      <c r="B25" s="173">
        <v>1648755.8</v>
      </c>
      <c r="C25" s="174" t="s">
        <v>385</v>
      </c>
      <c r="D25" s="173">
        <v>1624358.7</v>
      </c>
      <c r="E25" s="174" t="s">
        <v>385</v>
      </c>
      <c r="F25" s="173">
        <v>1612751.3</v>
      </c>
      <c r="G25" s="174" t="s">
        <v>385</v>
      </c>
      <c r="H25" s="173">
        <v>1627405.6</v>
      </c>
      <c r="I25" s="174" t="s">
        <v>385</v>
      </c>
      <c r="J25" s="175">
        <v>1655355</v>
      </c>
      <c r="K25" s="174" t="s">
        <v>385</v>
      </c>
      <c r="L25" s="173">
        <v>1695786.8</v>
      </c>
      <c r="M25" s="174" t="s">
        <v>385</v>
      </c>
      <c r="N25" s="173">
        <v>1736592.8</v>
      </c>
      <c r="O25" s="174" t="s">
        <v>385</v>
      </c>
      <c r="P25" s="173">
        <v>1771391.2</v>
      </c>
      <c r="Q25" s="174" t="s">
        <v>385</v>
      </c>
      <c r="R25" s="173">
        <v>1796648.5</v>
      </c>
      <c r="S25" s="174" t="s">
        <v>385</v>
      </c>
      <c r="T25" s="173">
        <v>1661019.9</v>
      </c>
      <c r="U25" s="174" t="s">
        <v>385</v>
      </c>
      <c r="V25" s="173">
        <v>1787675.4</v>
      </c>
      <c r="W25" s="174" t="s">
        <v>385</v>
      </c>
      <c r="X25" s="173">
        <v>1909153.6</v>
      </c>
      <c r="Y25" s="174" t="s">
        <v>385</v>
      </c>
    </row>
    <row r="26" spans="1:25">
      <c r="A26" s="172" t="s">
        <v>403</v>
      </c>
      <c r="B26" s="178">
        <v>19858.099999999999</v>
      </c>
      <c r="C26" s="177" t="s">
        <v>385</v>
      </c>
      <c r="D26" s="178">
        <v>19495.400000000001</v>
      </c>
      <c r="E26" s="177" t="s">
        <v>385</v>
      </c>
      <c r="F26" s="178">
        <v>18040.3</v>
      </c>
      <c r="G26" s="177" t="s">
        <v>385</v>
      </c>
      <c r="H26" s="178">
        <v>17482.8</v>
      </c>
      <c r="I26" s="177" t="s">
        <v>385</v>
      </c>
      <c r="J26" s="178">
        <v>17944.2</v>
      </c>
      <c r="K26" s="177" t="s">
        <v>385</v>
      </c>
      <c r="L26" s="178">
        <v>19013.8</v>
      </c>
      <c r="M26" s="177" t="s">
        <v>385</v>
      </c>
      <c r="N26" s="178">
        <v>20312.400000000001</v>
      </c>
      <c r="O26" s="177" t="s">
        <v>385</v>
      </c>
      <c r="P26" s="176">
        <v>21674</v>
      </c>
      <c r="Q26" s="177" t="s">
        <v>385</v>
      </c>
      <c r="R26" s="178">
        <v>23176.5</v>
      </c>
      <c r="S26" s="177" t="s">
        <v>385</v>
      </c>
      <c r="T26" s="178">
        <v>21896.5</v>
      </c>
      <c r="U26" s="177" t="s">
        <v>385</v>
      </c>
      <c r="V26" s="176">
        <v>24019</v>
      </c>
      <c r="W26" s="177" t="s">
        <v>385</v>
      </c>
      <c r="X26" s="178">
        <v>27006.400000000001</v>
      </c>
      <c r="Y26" s="177" t="s">
        <v>394</v>
      </c>
    </row>
    <row r="27" spans="1:25">
      <c r="A27" s="172" t="s">
        <v>404</v>
      </c>
      <c r="B27" s="175">
        <v>19666</v>
      </c>
      <c r="C27" s="174" t="s">
        <v>385</v>
      </c>
      <c r="D27" s="173">
        <v>22097.5</v>
      </c>
      <c r="E27" s="174" t="s">
        <v>385</v>
      </c>
      <c r="F27" s="173">
        <v>22791.3</v>
      </c>
      <c r="G27" s="174" t="s">
        <v>385</v>
      </c>
      <c r="H27" s="173">
        <v>23625.8</v>
      </c>
      <c r="I27" s="174" t="s">
        <v>385</v>
      </c>
      <c r="J27" s="173">
        <v>24572.1</v>
      </c>
      <c r="K27" s="174" t="s">
        <v>385</v>
      </c>
      <c r="L27" s="173">
        <v>25371.3</v>
      </c>
      <c r="M27" s="174" t="s">
        <v>385</v>
      </c>
      <c r="N27" s="173">
        <v>26984.400000000001</v>
      </c>
      <c r="O27" s="174" t="s">
        <v>385</v>
      </c>
      <c r="P27" s="173">
        <v>29153.599999999999</v>
      </c>
      <c r="Q27" s="174" t="s">
        <v>385</v>
      </c>
      <c r="R27" s="173">
        <v>30678.6</v>
      </c>
      <c r="S27" s="174" t="s">
        <v>385</v>
      </c>
      <c r="T27" s="173">
        <v>30265.1</v>
      </c>
      <c r="U27" s="174" t="s">
        <v>385</v>
      </c>
      <c r="V27" s="173">
        <v>33616.5</v>
      </c>
      <c r="W27" s="174" t="s">
        <v>385</v>
      </c>
      <c r="X27" s="173">
        <v>39062.5</v>
      </c>
      <c r="Y27" s="174" t="s">
        <v>385</v>
      </c>
    </row>
    <row r="28" spans="1:25">
      <c r="A28" s="172" t="s">
        <v>405</v>
      </c>
      <c r="B28" s="178">
        <v>31317.200000000001</v>
      </c>
      <c r="C28" s="177" t="s">
        <v>385</v>
      </c>
      <c r="D28" s="178">
        <v>33410.199999999997</v>
      </c>
      <c r="E28" s="177" t="s">
        <v>385</v>
      </c>
      <c r="F28" s="178">
        <v>35039.5</v>
      </c>
      <c r="G28" s="177" t="s">
        <v>385</v>
      </c>
      <c r="H28" s="178">
        <v>36581.300000000003</v>
      </c>
      <c r="I28" s="177" t="s">
        <v>385</v>
      </c>
      <c r="J28" s="178">
        <v>37345.699999999997</v>
      </c>
      <c r="K28" s="177" t="s">
        <v>385</v>
      </c>
      <c r="L28" s="178">
        <v>38889.9</v>
      </c>
      <c r="M28" s="177" t="s">
        <v>385</v>
      </c>
      <c r="N28" s="178">
        <v>42276.3</v>
      </c>
      <c r="O28" s="177" t="s">
        <v>385</v>
      </c>
      <c r="P28" s="178">
        <v>45515.199999999997</v>
      </c>
      <c r="Q28" s="177" t="s">
        <v>385</v>
      </c>
      <c r="R28" s="178">
        <v>48916.4</v>
      </c>
      <c r="S28" s="177" t="s">
        <v>385</v>
      </c>
      <c r="T28" s="178">
        <v>49829.3</v>
      </c>
      <c r="U28" s="177" t="s">
        <v>385</v>
      </c>
      <c r="V28" s="178">
        <v>56153.5</v>
      </c>
      <c r="W28" s="177" t="s">
        <v>385</v>
      </c>
      <c r="X28" s="178">
        <v>66791.100000000006</v>
      </c>
      <c r="Y28" s="177" t="s">
        <v>385</v>
      </c>
    </row>
    <row r="29" spans="1:25">
      <c r="A29" s="172" t="s">
        <v>276</v>
      </c>
      <c r="B29" s="173">
        <v>44323.5</v>
      </c>
      <c r="C29" s="174" t="s">
        <v>385</v>
      </c>
      <c r="D29" s="173">
        <v>46526.2</v>
      </c>
      <c r="E29" s="174" t="s">
        <v>385</v>
      </c>
      <c r="F29" s="173">
        <v>49094.5</v>
      </c>
      <c r="G29" s="174" t="s">
        <v>385</v>
      </c>
      <c r="H29" s="173">
        <v>51791.3</v>
      </c>
      <c r="I29" s="174" t="s">
        <v>385</v>
      </c>
      <c r="J29" s="173">
        <v>54142.3</v>
      </c>
      <c r="K29" s="174" t="s">
        <v>385</v>
      </c>
      <c r="L29" s="173">
        <v>56208.1</v>
      </c>
      <c r="M29" s="174" t="s">
        <v>385</v>
      </c>
      <c r="N29" s="173">
        <v>58168.800000000003</v>
      </c>
      <c r="O29" s="174" t="s">
        <v>385</v>
      </c>
      <c r="P29" s="173">
        <v>60121.2</v>
      </c>
      <c r="Q29" s="174" t="s">
        <v>385</v>
      </c>
      <c r="R29" s="173">
        <v>62431.5</v>
      </c>
      <c r="S29" s="174" t="s">
        <v>385</v>
      </c>
      <c r="T29" s="173">
        <v>64524.3</v>
      </c>
      <c r="U29" s="174" t="s">
        <v>385</v>
      </c>
      <c r="V29" s="173">
        <v>72360.899999999994</v>
      </c>
      <c r="W29" s="174" t="s">
        <v>385</v>
      </c>
      <c r="X29" s="175">
        <v>77529</v>
      </c>
      <c r="Y29" s="174" t="s">
        <v>385</v>
      </c>
    </row>
    <row r="30" spans="1:25">
      <c r="A30" s="172" t="s">
        <v>406</v>
      </c>
      <c r="B30" s="176">
        <v>102152</v>
      </c>
      <c r="C30" s="177" t="s">
        <v>385</v>
      </c>
      <c r="D30" s="178">
        <v>100247.6</v>
      </c>
      <c r="E30" s="177" t="s">
        <v>385</v>
      </c>
      <c r="F30" s="178">
        <v>102239.7</v>
      </c>
      <c r="G30" s="177" t="s">
        <v>385</v>
      </c>
      <c r="H30" s="178">
        <v>106263.8</v>
      </c>
      <c r="I30" s="177" t="s">
        <v>385</v>
      </c>
      <c r="J30" s="176">
        <v>112791</v>
      </c>
      <c r="K30" s="177" t="s">
        <v>385</v>
      </c>
      <c r="L30" s="178">
        <v>116255.7</v>
      </c>
      <c r="M30" s="177" t="s">
        <v>385</v>
      </c>
      <c r="N30" s="178">
        <v>127024.7</v>
      </c>
      <c r="O30" s="177" t="s">
        <v>385</v>
      </c>
      <c r="P30" s="178">
        <v>136055.4</v>
      </c>
      <c r="Q30" s="177" t="s">
        <v>385</v>
      </c>
      <c r="R30" s="178">
        <v>146554.5</v>
      </c>
      <c r="S30" s="177" t="s">
        <v>385</v>
      </c>
      <c r="T30" s="176">
        <v>137866</v>
      </c>
      <c r="U30" s="177" t="s">
        <v>385</v>
      </c>
      <c r="V30" s="178">
        <v>154120.1</v>
      </c>
      <c r="W30" s="177" t="s">
        <v>385</v>
      </c>
      <c r="X30" s="178">
        <v>170246.8</v>
      </c>
      <c r="Y30" s="177" t="s">
        <v>394</v>
      </c>
    </row>
    <row r="31" spans="1:25">
      <c r="A31" s="172" t="s">
        <v>407</v>
      </c>
      <c r="B31" s="173">
        <v>6924.6</v>
      </c>
      <c r="C31" s="174" t="s">
        <v>385</v>
      </c>
      <c r="D31" s="173">
        <v>7364.5</v>
      </c>
      <c r="E31" s="174" t="s">
        <v>385</v>
      </c>
      <c r="F31" s="173">
        <v>7944.3</v>
      </c>
      <c r="G31" s="174" t="s">
        <v>385</v>
      </c>
      <c r="H31" s="173">
        <v>8751.1</v>
      </c>
      <c r="I31" s="174" t="s">
        <v>385</v>
      </c>
      <c r="J31" s="173">
        <v>9996.7000000000007</v>
      </c>
      <c r="K31" s="174" t="s">
        <v>385</v>
      </c>
      <c r="L31" s="173">
        <v>10541.1</v>
      </c>
      <c r="M31" s="174" t="s">
        <v>385</v>
      </c>
      <c r="N31" s="173">
        <v>11936.6</v>
      </c>
      <c r="O31" s="174" t="s">
        <v>385</v>
      </c>
      <c r="P31" s="175">
        <v>13044</v>
      </c>
      <c r="Q31" s="174" t="s">
        <v>385</v>
      </c>
      <c r="R31" s="173">
        <v>14285.6</v>
      </c>
      <c r="S31" s="174" t="s">
        <v>385</v>
      </c>
      <c r="T31" s="173">
        <v>13353.8</v>
      </c>
      <c r="U31" s="174" t="s">
        <v>385</v>
      </c>
      <c r="V31" s="173">
        <v>15292.6</v>
      </c>
      <c r="W31" s="174" t="s">
        <v>385</v>
      </c>
      <c r="X31" s="173">
        <v>17212.5</v>
      </c>
      <c r="Y31" s="174" t="s">
        <v>385</v>
      </c>
    </row>
    <row r="32" spans="1:25">
      <c r="A32" s="172" t="s">
        <v>408</v>
      </c>
      <c r="B32" s="176">
        <v>650359</v>
      </c>
      <c r="C32" s="177" t="s">
        <v>385</v>
      </c>
      <c r="D32" s="176">
        <v>652966</v>
      </c>
      <c r="E32" s="177" t="s">
        <v>385</v>
      </c>
      <c r="F32" s="176">
        <v>660463</v>
      </c>
      <c r="G32" s="177" t="s">
        <v>385</v>
      </c>
      <c r="H32" s="176">
        <v>671560</v>
      </c>
      <c r="I32" s="177" t="s">
        <v>385</v>
      </c>
      <c r="J32" s="176">
        <v>690008</v>
      </c>
      <c r="K32" s="177" t="s">
        <v>385</v>
      </c>
      <c r="L32" s="176">
        <v>708337</v>
      </c>
      <c r="M32" s="177" t="s">
        <v>385</v>
      </c>
      <c r="N32" s="176">
        <v>738146</v>
      </c>
      <c r="O32" s="177" t="s">
        <v>385</v>
      </c>
      <c r="P32" s="176">
        <v>773987</v>
      </c>
      <c r="Q32" s="177" t="s">
        <v>385</v>
      </c>
      <c r="R32" s="176">
        <v>813055</v>
      </c>
      <c r="S32" s="177" t="s">
        <v>385</v>
      </c>
      <c r="T32" s="176">
        <v>796530</v>
      </c>
      <c r="U32" s="177" t="s">
        <v>385</v>
      </c>
      <c r="V32" s="176">
        <v>870587</v>
      </c>
      <c r="W32" s="177" t="s">
        <v>385</v>
      </c>
      <c r="X32" s="176">
        <v>958549</v>
      </c>
      <c r="Y32" s="177" t="s">
        <v>394</v>
      </c>
    </row>
    <row r="33" spans="1:25">
      <c r="A33" s="172" t="s">
        <v>359</v>
      </c>
      <c r="B33" s="173">
        <v>310128.7</v>
      </c>
      <c r="C33" s="174" t="s">
        <v>385</v>
      </c>
      <c r="D33" s="175">
        <v>318653</v>
      </c>
      <c r="E33" s="174" t="s">
        <v>385</v>
      </c>
      <c r="F33" s="173">
        <v>323910.2</v>
      </c>
      <c r="G33" s="174" t="s">
        <v>385</v>
      </c>
      <c r="H33" s="173">
        <v>333146.09999999998</v>
      </c>
      <c r="I33" s="174" t="s">
        <v>385</v>
      </c>
      <c r="J33" s="173">
        <v>344269.2</v>
      </c>
      <c r="K33" s="174" t="s">
        <v>385</v>
      </c>
      <c r="L33" s="175">
        <v>357608</v>
      </c>
      <c r="M33" s="174" t="s">
        <v>385</v>
      </c>
      <c r="N33" s="173">
        <v>369361.9</v>
      </c>
      <c r="O33" s="174" t="s">
        <v>385</v>
      </c>
      <c r="P33" s="173">
        <v>385274.1</v>
      </c>
      <c r="Q33" s="174" t="s">
        <v>385</v>
      </c>
      <c r="R33" s="173">
        <v>397169.5</v>
      </c>
      <c r="S33" s="174" t="s">
        <v>385</v>
      </c>
      <c r="T33" s="173">
        <v>381042.5</v>
      </c>
      <c r="U33" s="174" t="s">
        <v>385</v>
      </c>
      <c r="V33" s="173">
        <v>406148.7</v>
      </c>
      <c r="W33" s="174" t="s">
        <v>385</v>
      </c>
      <c r="X33" s="173">
        <v>447061.9</v>
      </c>
      <c r="Y33" s="174" t="s">
        <v>385</v>
      </c>
    </row>
    <row r="34" spans="1:25">
      <c r="A34" s="172" t="s">
        <v>361</v>
      </c>
      <c r="B34" s="178">
        <v>377042.4</v>
      </c>
      <c r="C34" s="177" t="s">
        <v>385</v>
      </c>
      <c r="D34" s="178">
        <v>385389.4</v>
      </c>
      <c r="E34" s="177" t="s">
        <v>385</v>
      </c>
      <c r="F34" s="178">
        <v>388356.4</v>
      </c>
      <c r="G34" s="177" t="s">
        <v>385</v>
      </c>
      <c r="H34" s="178">
        <v>406412.5</v>
      </c>
      <c r="I34" s="177" t="s">
        <v>385</v>
      </c>
      <c r="J34" s="178">
        <v>429834.6</v>
      </c>
      <c r="K34" s="177" t="s">
        <v>385</v>
      </c>
      <c r="L34" s="178">
        <v>424735.3</v>
      </c>
      <c r="M34" s="177" t="s">
        <v>385</v>
      </c>
      <c r="N34" s="178">
        <v>465772.6</v>
      </c>
      <c r="O34" s="177" t="s">
        <v>385</v>
      </c>
      <c r="P34" s="178">
        <v>499004.1</v>
      </c>
      <c r="Q34" s="177" t="s">
        <v>385</v>
      </c>
      <c r="R34" s="178">
        <v>532504.69999999995</v>
      </c>
      <c r="S34" s="177" t="s">
        <v>385</v>
      </c>
      <c r="T34" s="178">
        <v>526147.19999999995</v>
      </c>
      <c r="U34" s="177" t="s">
        <v>385</v>
      </c>
      <c r="V34" s="178">
        <v>576382.6</v>
      </c>
      <c r="W34" s="177" t="s">
        <v>385</v>
      </c>
      <c r="X34" s="178">
        <v>656905.5</v>
      </c>
      <c r="Y34" s="177" t="s">
        <v>385</v>
      </c>
    </row>
    <row r="35" spans="1:25">
      <c r="A35" s="172" t="s">
        <v>409</v>
      </c>
      <c r="B35" s="173">
        <v>176096.2</v>
      </c>
      <c r="C35" s="174" t="s">
        <v>385</v>
      </c>
      <c r="D35" s="173">
        <v>168295.6</v>
      </c>
      <c r="E35" s="174" t="s">
        <v>385</v>
      </c>
      <c r="F35" s="173">
        <v>170492.3</v>
      </c>
      <c r="G35" s="174" t="s">
        <v>385</v>
      </c>
      <c r="H35" s="173">
        <v>173053.7</v>
      </c>
      <c r="I35" s="174" t="s">
        <v>385</v>
      </c>
      <c r="J35" s="173">
        <v>179713.2</v>
      </c>
      <c r="K35" s="174" t="s">
        <v>385</v>
      </c>
      <c r="L35" s="173">
        <v>186489.8</v>
      </c>
      <c r="M35" s="174" t="s">
        <v>385</v>
      </c>
      <c r="N35" s="173">
        <v>195947.2</v>
      </c>
      <c r="O35" s="174" t="s">
        <v>385</v>
      </c>
      <c r="P35" s="173">
        <v>205184.1</v>
      </c>
      <c r="Q35" s="174" t="s">
        <v>385</v>
      </c>
      <c r="R35" s="173">
        <v>214374.6</v>
      </c>
      <c r="S35" s="174" t="s">
        <v>385</v>
      </c>
      <c r="T35" s="173">
        <v>200518.9</v>
      </c>
      <c r="U35" s="174" t="s">
        <v>385</v>
      </c>
      <c r="V35" s="175">
        <v>214741</v>
      </c>
      <c r="W35" s="174" t="s">
        <v>394</v>
      </c>
      <c r="X35" s="173">
        <v>239240.7</v>
      </c>
      <c r="Y35" s="174" t="s">
        <v>394</v>
      </c>
    </row>
    <row r="36" spans="1:25">
      <c r="A36" s="172" t="s">
        <v>410</v>
      </c>
      <c r="B36" s="178">
        <v>138520.70000000001</v>
      </c>
      <c r="C36" s="177" t="s">
        <v>385</v>
      </c>
      <c r="D36" s="178">
        <v>139319.79999999999</v>
      </c>
      <c r="E36" s="177" t="s">
        <v>385</v>
      </c>
      <c r="F36" s="178">
        <v>142928.9</v>
      </c>
      <c r="G36" s="177" t="s">
        <v>385</v>
      </c>
      <c r="H36" s="178">
        <v>150522.4</v>
      </c>
      <c r="I36" s="177" t="s">
        <v>385</v>
      </c>
      <c r="J36" s="178">
        <v>160287.79999999999</v>
      </c>
      <c r="K36" s="177" t="s">
        <v>385</v>
      </c>
      <c r="L36" s="178">
        <v>167494.29999999999</v>
      </c>
      <c r="M36" s="177" t="s">
        <v>385</v>
      </c>
      <c r="N36" s="176">
        <v>186399</v>
      </c>
      <c r="O36" s="177" t="s">
        <v>385</v>
      </c>
      <c r="P36" s="178">
        <v>206071.9</v>
      </c>
      <c r="Q36" s="177" t="s">
        <v>385</v>
      </c>
      <c r="R36" s="178">
        <v>224178.6</v>
      </c>
      <c r="S36" s="177" t="s">
        <v>385</v>
      </c>
      <c r="T36" s="178">
        <v>220486.6</v>
      </c>
      <c r="U36" s="177" t="s">
        <v>385</v>
      </c>
      <c r="V36" s="178">
        <v>241268.4</v>
      </c>
      <c r="W36" s="177" t="s">
        <v>394</v>
      </c>
      <c r="X36" s="178">
        <v>285884.79999999999</v>
      </c>
      <c r="Y36" s="177" t="s">
        <v>394</v>
      </c>
    </row>
    <row r="37" spans="1:25">
      <c r="A37" s="172" t="s">
        <v>411</v>
      </c>
      <c r="B37" s="173">
        <v>37058.6</v>
      </c>
      <c r="C37" s="174" t="s">
        <v>385</v>
      </c>
      <c r="D37" s="173">
        <v>36253.300000000003</v>
      </c>
      <c r="E37" s="174" t="s">
        <v>385</v>
      </c>
      <c r="F37" s="173">
        <v>36454.300000000003</v>
      </c>
      <c r="G37" s="174" t="s">
        <v>385</v>
      </c>
      <c r="H37" s="173">
        <v>37634.300000000003</v>
      </c>
      <c r="I37" s="174" t="s">
        <v>385</v>
      </c>
      <c r="J37" s="173">
        <v>38852.6</v>
      </c>
      <c r="K37" s="174" t="s">
        <v>385</v>
      </c>
      <c r="L37" s="173">
        <v>40443.199999999997</v>
      </c>
      <c r="M37" s="174" t="s">
        <v>385</v>
      </c>
      <c r="N37" s="173">
        <v>43011.3</v>
      </c>
      <c r="O37" s="174" t="s">
        <v>385</v>
      </c>
      <c r="P37" s="173">
        <v>45876.3</v>
      </c>
      <c r="Q37" s="174" t="s">
        <v>385</v>
      </c>
      <c r="R37" s="173">
        <v>48582.3</v>
      </c>
      <c r="S37" s="174" t="s">
        <v>385</v>
      </c>
      <c r="T37" s="173">
        <v>47044.9</v>
      </c>
      <c r="U37" s="174" t="s">
        <v>385</v>
      </c>
      <c r="V37" s="173">
        <v>52278.8</v>
      </c>
      <c r="W37" s="174" t="s">
        <v>385</v>
      </c>
      <c r="X37" s="173">
        <v>57037.7</v>
      </c>
      <c r="Y37" s="174" t="s">
        <v>385</v>
      </c>
    </row>
    <row r="38" spans="1:25">
      <c r="A38" s="172" t="s">
        <v>412</v>
      </c>
      <c r="B38" s="178">
        <v>71785.8</v>
      </c>
      <c r="C38" s="177" t="s">
        <v>385</v>
      </c>
      <c r="D38" s="178">
        <v>73649.3</v>
      </c>
      <c r="E38" s="177" t="s">
        <v>385</v>
      </c>
      <c r="F38" s="178">
        <v>74492.800000000003</v>
      </c>
      <c r="G38" s="177" t="s">
        <v>385</v>
      </c>
      <c r="H38" s="178">
        <v>76354.5</v>
      </c>
      <c r="I38" s="177" t="s">
        <v>385</v>
      </c>
      <c r="J38" s="176">
        <v>80126</v>
      </c>
      <c r="K38" s="177" t="s">
        <v>385</v>
      </c>
      <c r="L38" s="178">
        <v>81265.2</v>
      </c>
      <c r="M38" s="177" t="s">
        <v>385</v>
      </c>
      <c r="N38" s="178">
        <v>84669.9</v>
      </c>
      <c r="O38" s="177" t="s">
        <v>385</v>
      </c>
      <c r="P38" s="178">
        <v>89874.7</v>
      </c>
      <c r="Q38" s="177" t="s">
        <v>385</v>
      </c>
      <c r="R38" s="178">
        <v>94428.3</v>
      </c>
      <c r="S38" s="177" t="s">
        <v>385</v>
      </c>
      <c r="T38" s="178">
        <v>93441.9</v>
      </c>
      <c r="U38" s="177" t="s">
        <v>385</v>
      </c>
      <c r="V38" s="178">
        <v>100323.5</v>
      </c>
      <c r="W38" s="177" t="s">
        <v>385</v>
      </c>
      <c r="X38" s="178">
        <v>109651.9</v>
      </c>
      <c r="Y38" s="177" t="s">
        <v>385</v>
      </c>
    </row>
    <row r="39" spans="1:25">
      <c r="A39" s="172" t="s">
        <v>413</v>
      </c>
      <c r="B39" s="175">
        <v>197998</v>
      </c>
      <c r="C39" s="174" t="s">
        <v>385</v>
      </c>
      <c r="D39" s="175">
        <v>201037</v>
      </c>
      <c r="E39" s="174" t="s">
        <v>385</v>
      </c>
      <c r="F39" s="175">
        <v>204321</v>
      </c>
      <c r="G39" s="174" t="s">
        <v>385</v>
      </c>
      <c r="H39" s="175">
        <v>206897</v>
      </c>
      <c r="I39" s="174" t="s">
        <v>385</v>
      </c>
      <c r="J39" s="175">
        <v>211385</v>
      </c>
      <c r="K39" s="174" t="s">
        <v>385</v>
      </c>
      <c r="L39" s="175">
        <v>217518</v>
      </c>
      <c r="M39" s="174" t="s">
        <v>385</v>
      </c>
      <c r="N39" s="175">
        <v>226301</v>
      </c>
      <c r="O39" s="174" t="s">
        <v>385</v>
      </c>
      <c r="P39" s="175">
        <v>233462</v>
      </c>
      <c r="Q39" s="174" t="s">
        <v>385</v>
      </c>
      <c r="R39" s="175">
        <v>239858</v>
      </c>
      <c r="S39" s="174" t="s">
        <v>385</v>
      </c>
      <c r="T39" s="175">
        <v>238038</v>
      </c>
      <c r="U39" s="174" t="s">
        <v>385</v>
      </c>
      <c r="V39" s="175">
        <v>250920</v>
      </c>
      <c r="W39" s="174" t="s">
        <v>385</v>
      </c>
      <c r="X39" s="175">
        <v>268650</v>
      </c>
      <c r="Y39" s="174" t="s">
        <v>385</v>
      </c>
    </row>
    <row r="40" spans="1:25">
      <c r="A40" s="172" t="s">
        <v>414</v>
      </c>
      <c r="B40" s="178">
        <v>412844.7</v>
      </c>
      <c r="C40" s="177" t="s">
        <v>385</v>
      </c>
      <c r="D40" s="178">
        <v>430037.1</v>
      </c>
      <c r="E40" s="177" t="s">
        <v>385</v>
      </c>
      <c r="F40" s="178">
        <v>441850.7</v>
      </c>
      <c r="G40" s="177" t="s">
        <v>385</v>
      </c>
      <c r="H40" s="178">
        <v>438833.9</v>
      </c>
      <c r="I40" s="177" t="s">
        <v>385</v>
      </c>
      <c r="J40" s="178">
        <v>455494.7</v>
      </c>
      <c r="K40" s="177" t="s">
        <v>385</v>
      </c>
      <c r="L40" s="178">
        <v>466266.5</v>
      </c>
      <c r="M40" s="177" t="s">
        <v>385</v>
      </c>
      <c r="N40" s="178">
        <v>480025.5</v>
      </c>
      <c r="O40" s="177" t="s">
        <v>385</v>
      </c>
      <c r="P40" s="178">
        <v>470673.1</v>
      </c>
      <c r="Q40" s="177" t="s">
        <v>385</v>
      </c>
      <c r="R40" s="178">
        <v>476869.5</v>
      </c>
      <c r="S40" s="177" t="s">
        <v>385</v>
      </c>
      <c r="T40" s="178">
        <v>480556.4</v>
      </c>
      <c r="U40" s="177" t="s">
        <v>385</v>
      </c>
      <c r="V40" s="176">
        <v>540734</v>
      </c>
      <c r="W40" s="177" t="s">
        <v>385</v>
      </c>
      <c r="X40" s="178">
        <v>562526.30000000005</v>
      </c>
      <c r="Y40" s="177" t="s">
        <v>385</v>
      </c>
    </row>
    <row r="41" spans="1:25">
      <c r="A41" s="172" t="s">
        <v>415</v>
      </c>
      <c r="B41" s="173">
        <v>10934.3</v>
      </c>
      <c r="C41" s="174" t="s">
        <v>385</v>
      </c>
      <c r="D41" s="173">
        <v>11479.9</v>
      </c>
      <c r="E41" s="174" t="s">
        <v>385</v>
      </c>
      <c r="F41" s="173">
        <v>12132.9</v>
      </c>
      <c r="G41" s="174" t="s">
        <v>385</v>
      </c>
      <c r="H41" s="173">
        <v>13472.6</v>
      </c>
      <c r="I41" s="174" t="s">
        <v>385</v>
      </c>
      <c r="J41" s="173">
        <v>15795.3</v>
      </c>
      <c r="K41" s="174" t="s">
        <v>385</v>
      </c>
      <c r="L41" s="173">
        <v>18804.2</v>
      </c>
      <c r="M41" s="174" t="s">
        <v>385</v>
      </c>
      <c r="N41" s="173">
        <v>21917.7</v>
      </c>
      <c r="O41" s="174" t="s">
        <v>385</v>
      </c>
      <c r="P41" s="173">
        <v>22238.3</v>
      </c>
      <c r="Q41" s="174" t="s">
        <v>385</v>
      </c>
      <c r="R41" s="173">
        <v>22043.3</v>
      </c>
      <c r="S41" s="174" t="s">
        <v>385</v>
      </c>
      <c r="T41" s="173">
        <v>18891.7</v>
      </c>
      <c r="U41" s="174" t="s">
        <v>385</v>
      </c>
      <c r="V41" s="173">
        <v>21647.7</v>
      </c>
      <c r="W41" s="174" t="s">
        <v>385</v>
      </c>
      <c r="X41" s="173">
        <v>26691.3</v>
      </c>
      <c r="Y41" s="174" t="s">
        <v>385</v>
      </c>
    </row>
    <row r="42" spans="1:25">
      <c r="A42" s="172" t="s">
        <v>416</v>
      </c>
      <c r="B42" s="177" t="s">
        <v>417</v>
      </c>
      <c r="C42" s="177" t="s">
        <v>385</v>
      </c>
      <c r="D42" s="177" t="s">
        <v>417</v>
      </c>
      <c r="E42" s="177" t="s">
        <v>385</v>
      </c>
      <c r="F42" s="178">
        <v>4812.3999999999996</v>
      </c>
      <c r="G42" s="177" t="s">
        <v>385</v>
      </c>
      <c r="H42" s="178">
        <v>5021.7</v>
      </c>
      <c r="I42" s="177" t="s">
        <v>385</v>
      </c>
      <c r="J42" s="178">
        <v>5649.1</v>
      </c>
      <c r="K42" s="177" t="s">
        <v>385</v>
      </c>
      <c r="L42" s="178">
        <v>5637.7</v>
      </c>
      <c r="M42" s="177" t="s">
        <v>385</v>
      </c>
      <c r="N42" s="178">
        <v>5734.6</v>
      </c>
      <c r="O42" s="177" t="s">
        <v>385</v>
      </c>
      <c r="P42" s="178">
        <v>5666.3</v>
      </c>
      <c r="Q42" s="177" t="s">
        <v>385</v>
      </c>
      <c r="R42" s="178">
        <v>5750.1</v>
      </c>
      <c r="S42" s="177" t="s">
        <v>385</v>
      </c>
      <c r="T42" s="178">
        <v>5617.9</v>
      </c>
      <c r="U42" s="177" t="s">
        <v>394</v>
      </c>
      <c r="V42" s="178">
        <v>6075.3</v>
      </c>
      <c r="W42" s="177" t="s">
        <v>418</v>
      </c>
      <c r="X42" s="177" t="s">
        <v>417</v>
      </c>
      <c r="Y42" s="177" t="s">
        <v>385</v>
      </c>
    </row>
    <row r="43" spans="1:25">
      <c r="A43" s="172" t="s">
        <v>419</v>
      </c>
      <c r="B43" s="173">
        <v>360552.4</v>
      </c>
      <c r="C43" s="174" t="s">
        <v>385</v>
      </c>
      <c r="D43" s="173">
        <v>399069.2</v>
      </c>
      <c r="E43" s="174" t="s">
        <v>385</v>
      </c>
      <c r="F43" s="173">
        <v>395856.8</v>
      </c>
      <c r="G43" s="174" t="s">
        <v>385</v>
      </c>
      <c r="H43" s="173">
        <v>378456.4</v>
      </c>
      <c r="I43" s="174" t="s">
        <v>385</v>
      </c>
      <c r="J43" s="173">
        <v>349756.7</v>
      </c>
      <c r="K43" s="174" t="s">
        <v>385</v>
      </c>
      <c r="L43" s="173">
        <v>335396.5</v>
      </c>
      <c r="M43" s="174" t="s">
        <v>385</v>
      </c>
      <c r="N43" s="173">
        <v>356288.5</v>
      </c>
      <c r="O43" s="174" t="s">
        <v>385</v>
      </c>
      <c r="P43" s="173">
        <v>372657.6</v>
      </c>
      <c r="Q43" s="174" t="s">
        <v>385</v>
      </c>
      <c r="R43" s="173">
        <v>365130.5</v>
      </c>
      <c r="S43" s="174" t="s">
        <v>385</v>
      </c>
      <c r="T43" s="173">
        <v>322823.8</v>
      </c>
      <c r="U43" s="174" t="s">
        <v>385</v>
      </c>
      <c r="V43" s="173">
        <v>414394.9</v>
      </c>
      <c r="W43" s="174" t="s">
        <v>385</v>
      </c>
      <c r="X43" s="173">
        <v>551408.9</v>
      </c>
      <c r="Y43" s="174" t="s">
        <v>385</v>
      </c>
    </row>
    <row r="44" spans="1:25">
      <c r="A44" s="172" t="s">
        <v>420</v>
      </c>
      <c r="B44" s="178">
        <v>515770.5</v>
      </c>
      <c r="C44" s="177" t="s">
        <v>385</v>
      </c>
      <c r="D44" s="178">
        <v>534012.80000000005</v>
      </c>
      <c r="E44" s="177" t="s">
        <v>385</v>
      </c>
      <c r="F44" s="178">
        <v>531729.1</v>
      </c>
      <c r="G44" s="177" t="s">
        <v>385</v>
      </c>
      <c r="H44" s="178">
        <v>548014.5</v>
      </c>
      <c r="I44" s="177" t="s">
        <v>385</v>
      </c>
      <c r="J44" s="178">
        <v>625532.69999999995</v>
      </c>
      <c r="K44" s="177" t="s">
        <v>385</v>
      </c>
      <c r="L44" s="178">
        <v>621765.1</v>
      </c>
      <c r="M44" s="177" t="s">
        <v>385</v>
      </c>
      <c r="N44" s="178">
        <v>615776.30000000005</v>
      </c>
      <c r="O44" s="177" t="s">
        <v>385</v>
      </c>
      <c r="P44" s="178">
        <v>614304.4</v>
      </c>
      <c r="Q44" s="177" t="s">
        <v>385</v>
      </c>
      <c r="R44" s="178">
        <v>644443.19999999995</v>
      </c>
      <c r="S44" s="177" t="s">
        <v>385</v>
      </c>
      <c r="T44" s="178">
        <v>650742.6</v>
      </c>
      <c r="U44" s="177" t="s">
        <v>385</v>
      </c>
      <c r="V44" s="178">
        <v>687568.4</v>
      </c>
      <c r="W44" s="177" t="s">
        <v>394</v>
      </c>
      <c r="X44" s="178">
        <v>777804.6</v>
      </c>
      <c r="Y44" s="177" t="s">
        <v>394</v>
      </c>
    </row>
    <row r="45" spans="1:25">
      <c r="A45" s="172" t="s">
        <v>421</v>
      </c>
      <c r="B45" s="173">
        <v>1912869.3</v>
      </c>
      <c r="C45" s="174" t="s">
        <v>385</v>
      </c>
      <c r="D45" s="173">
        <v>2111028.9</v>
      </c>
      <c r="E45" s="174" t="s">
        <v>385</v>
      </c>
      <c r="F45" s="175">
        <v>2096338</v>
      </c>
      <c r="G45" s="174" t="s">
        <v>385</v>
      </c>
      <c r="H45" s="173">
        <v>2311080.2000000002</v>
      </c>
      <c r="I45" s="174" t="s">
        <v>385</v>
      </c>
      <c r="J45" s="173">
        <v>2644716.5</v>
      </c>
      <c r="K45" s="174" t="s">
        <v>385</v>
      </c>
      <c r="L45" s="173">
        <v>2434119.2000000002</v>
      </c>
      <c r="M45" s="174" t="s">
        <v>385</v>
      </c>
      <c r="N45" s="173">
        <v>2359789.9</v>
      </c>
      <c r="O45" s="174" t="s">
        <v>385</v>
      </c>
      <c r="P45" s="173">
        <v>2420897.2000000002</v>
      </c>
      <c r="Q45" s="174" t="s">
        <v>385</v>
      </c>
      <c r="R45" s="173">
        <v>2526615.2000000002</v>
      </c>
      <c r="S45" s="174" t="s">
        <v>385</v>
      </c>
      <c r="T45" s="174" t="s">
        <v>417</v>
      </c>
      <c r="U45" s="174" t="s">
        <v>385</v>
      </c>
      <c r="V45" s="174" t="s">
        <v>417</v>
      </c>
      <c r="W45" s="174" t="s">
        <v>385</v>
      </c>
      <c r="X45" s="174" t="s">
        <v>417</v>
      </c>
      <c r="Y45" s="174" t="s">
        <v>385</v>
      </c>
    </row>
    <row r="46" spans="1:25">
      <c r="A46" s="172" t="s">
        <v>422</v>
      </c>
      <c r="B46" s="178">
        <v>13411.8</v>
      </c>
      <c r="C46" s="177" t="s">
        <v>385</v>
      </c>
      <c r="D46" s="178">
        <v>13407.5</v>
      </c>
      <c r="E46" s="177" t="s">
        <v>385</v>
      </c>
      <c r="F46" s="178">
        <v>13691.8</v>
      </c>
      <c r="G46" s="177" t="s">
        <v>385</v>
      </c>
      <c r="H46" s="178">
        <v>13988.3</v>
      </c>
      <c r="I46" s="177" t="s">
        <v>385</v>
      </c>
      <c r="J46" s="178">
        <v>14791.1</v>
      </c>
      <c r="K46" s="177" t="s">
        <v>385</v>
      </c>
      <c r="L46" s="178">
        <v>15474.3</v>
      </c>
      <c r="M46" s="177" t="s">
        <v>385</v>
      </c>
      <c r="N46" s="178">
        <v>16260.5</v>
      </c>
      <c r="O46" s="177" t="s">
        <v>385</v>
      </c>
      <c r="P46" s="178">
        <v>17354.2</v>
      </c>
      <c r="Q46" s="177" t="s">
        <v>385</v>
      </c>
      <c r="R46" s="178">
        <v>18296.5</v>
      </c>
      <c r="S46" s="177" t="s">
        <v>385</v>
      </c>
      <c r="T46" s="178">
        <v>17755.900000000001</v>
      </c>
      <c r="U46" s="177" t="s">
        <v>385</v>
      </c>
      <c r="V46" s="178">
        <v>19995.099999999999</v>
      </c>
      <c r="W46" s="177" t="s">
        <v>385</v>
      </c>
      <c r="X46" s="178">
        <v>23317.3</v>
      </c>
      <c r="Y46" s="177" t="s">
        <v>385</v>
      </c>
    </row>
    <row r="47" spans="1:25">
      <c r="A47" s="172" t="s">
        <v>423</v>
      </c>
      <c r="B47" s="173">
        <v>3264.8</v>
      </c>
      <c r="C47" s="174" t="s">
        <v>385</v>
      </c>
      <c r="D47" s="173">
        <v>3181.5</v>
      </c>
      <c r="E47" s="174" t="s">
        <v>385</v>
      </c>
      <c r="F47" s="173">
        <v>3362.5</v>
      </c>
      <c r="G47" s="174" t="s">
        <v>385</v>
      </c>
      <c r="H47" s="173">
        <v>3457.9</v>
      </c>
      <c r="I47" s="174" t="s">
        <v>385</v>
      </c>
      <c r="J47" s="173">
        <v>3654.5</v>
      </c>
      <c r="K47" s="174" t="s">
        <v>385</v>
      </c>
      <c r="L47" s="173">
        <v>3954.2</v>
      </c>
      <c r="M47" s="174" t="s">
        <v>385</v>
      </c>
      <c r="N47" s="173">
        <v>4299.1000000000004</v>
      </c>
      <c r="O47" s="174" t="s">
        <v>385</v>
      </c>
      <c r="P47" s="173">
        <v>4663.1000000000004</v>
      </c>
      <c r="Q47" s="174" t="s">
        <v>385</v>
      </c>
      <c r="R47" s="173">
        <v>4950.7</v>
      </c>
      <c r="S47" s="174" t="s">
        <v>385</v>
      </c>
      <c r="T47" s="173">
        <v>4185.6000000000004</v>
      </c>
      <c r="U47" s="174" t="s">
        <v>385</v>
      </c>
      <c r="V47" s="173">
        <v>4955.1000000000004</v>
      </c>
      <c r="W47" s="174" t="s">
        <v>385</v>
      </c>
      <c r="X47" s="173">
        <v>5796.8</v>
      </c>
      <c r="Y47" s="174" t="s">
        <v>394</v>
      </c>
    </row>
    <row r="48" spans="1:25">
      <c r="A48" s="172" t="s">
        <v>424</v>
      </c>
      <c r="B48" s="178">
        <v>7544.2</v>
      </c>
      <c r="C48" s="177" t="s">
        <v>385</v>
      </c>
      <c r="D48" s="178">
        <v>7584.8</v>
      </c>
      <c r="E48" s="177" t="s">
        <v>385</v>
      </c>
      <c r="F48" s="178">
        <v>8149.6</v>
      </c>
      <c r="G48" s="177" t="s">
        <v>385</v>
      </c>
      <c r="H48" s="176">
        <v>8562</v>
      </c>
      <c r="I48" s="177" t="s">
        <v>385</v>
      </c>
      <c r="J48" s="178">
        <v>9072.2999999999993</v>
      </c>
      <c r="K48" s="177" t="s">
        <v>385</v>
      </c>
      <c r="L48" s="178">
        <v>9656.5</v>
      </c>
      <c r="M48" s="177" t="s">
        <v>385</v>
      </c>
      <c r="N48" s="178">
        <v>10038.299999999999</v>
      </c>
      <c r="O48" s="177" t="s">
        <v>385</v>
      </c>
      <c r="P48" s="176">
        <v>10744</v>
      </c>
      <c r="Q48" s="177" t="s">
        <v>385</v>
      </c>
      <c r="R48" s="176">
        <v>11262</v>
      </c>
      <c r="S48" s="177" t="s">
        <v>385</v>
      </c>
      <c r="T48" s="178">
        <v>10851.7</v>
      </c>
      <c r="U48" s="177" t="s">
        <v>385</v>
      </c>
      <c r="V48" s="178">
        <v>11688.2</v>
      </c>
      <c r="W48" s="177" t="s">
        <v>394</v>
      </c>
      <c r="X48" s="178">
        <v>12897.8</v>
      </c>
      <c r="Y48" s="177" t="s">
        <v>418</v>
      </c>
    </row>
    <row r="49" spans="1:25">
      <c r="A49" s="172" t="s">
        <v>425</v>
      </c>
      <c r="B49" s="173">
        <v>9268.2999999999993</v>
      </c>
      <c r="C49" s="174" t="s">
        <v>385</v>
      </c>
      <c r="D49" s="173">
        <v>9585.7999999999993</v>
      </c>
      <c r="E49" s="174" t="s">
        <v>385</v>
      </c>
      <c r="F49" s="173">
        <v>9625.4</v>
      </c>
      <c r="G49" s="174" t="s">
        <v>385</v>
      </c>
      <c r="H49" s="173">
        <v>9968.6</v>
      </c>
      <c r="I49" s="174" t="s">
        <v>385</v>
      </c>
      <c r="J49" s="173">
        <v>10264.1</v>
      </c>
      <c r="K49" s="174" t="s">
        <v>385</v>
      </c>
      <c r="L49" s="173">
        <v>10719.9</v>
      </c>
      <c r="M49" s="174" t="s">
        <v>385</v>
      </c>
      <c r="N49" s="175">
        <v>11559</v>
      </c>
      <c r="O49" s="174" t="s">
        <v>385</v>
      </c>
      <c r="P49" s="173">
        <v>12828.1</v>
      </c>
      <c r="Q49" s="174" t="s">
        <v>385</v>
      </c>
      <c r="R49" s="173">
        <v>13754.2</v>
      </c>
      <c r="S49" s="174" t="s">
        <v>385</v>
      </c>
      <c r="T49" s="173">
        <v>13310.4</v>
      </c>
      <c r="U49" s="174" t="s">
        <v>385</v>
      </c>
      <c r="V49" s="173">
        <v>15157.4</v>
      </c>
      <c r="W49" s="174" t="s">
        <v>394</v>
      </c>
      <c r="X49" s="173">
        <v>17939.7</v>
      </c>
      <c r="Y49" s="174" t="s">
        <v>418</v>
      </c>
    </row>
    <row r="50" spans="1:25">
      <c r="A50" s="172" t="s">
        <v>426</v>
      </c>
      <c r="B50" s="178">
        <v>35431.699999999997</v>
      </c>
      <c r="C50" s="177" t="s">
        <v>385</v>
      </c>
      <c r="D50" s="178">
        <v>33679.300000000003</v>
      </c>
      <c r="E50" s="177" t="s">
        <v>385</v>
      </c>
      <c r="F50" s="178">
        <v>36426.699999999997</v>
      </c>
      <c r="G50" s="177" t="s">
        <v>385</v>
      </c>
      <c r="H50" s="178">
        <v>35467.5</v>
      </c>
      <c r="I50" s="177" t="s">
        <v>385</v>
      </c>
      <c r="J50" s="178">
        <v>35740.199999999997</v>
      </c>
      <c r="K50" s="177" t="s">
        <v>385</v>
      </c>
      <c r="L50" s="178">
        <v>36779.300000000003</v>
      </c>
      <c r="M50" s="177" t="s">
        <v>385</v>
      </c>
      <c r="N50" s="178">
        <v>39235.300000000003</v>
      </c>
      <c r="O50" s="177" t="s">
        <v>385</v>
      </c>
      <c r="P50" s="178">
        <v>42892.2</v>
      </c>
      <c r="Q50" s="177" t="s">
        <v>385</v>
      </c>
      <c r="R50" s="178">
        <v>46005.4</v>
      </c>
      <c r="S50" s="177" t="s">
        <v>385</v>
      </c>
      <c r="T50" s="178">
        <v>46815.3</v>
      </c>
      <c r="U50" s="177" t="s">
        <v>385</v>
      </c>
      <c r="V50" s="178">
        <v>53329.3</v>
      </c>
      <c r="W50" s="177" t="s">
        <v>385</v>
      </c>
      <c r="X50" s="178">
        <v>60367.9</v>
      </c>
      <c r="Y50" s="177" t="s">
        <v>394</v>
      </c>
    </row>
    <row r="51" spans="1:25">
      <c r="A51" s="172" t="s">
        <v>427</v>
      </c>
      <c r="B51" s="173">
        <v>600961.4</v>
      </c>
      <c r="C51" s="174" t="s">
        <v>385</v>
      </c>
      <c r="D51" s="173">
        <v>683587.3</v>
      </c>
      <c r="E51" s="174" t="s">
        <v>385</v>
      </c>
      <c r="F51" s="173">
        <v>719726.6</v>
      </c>
      <c r="G51" s="174" t="s">
        <v>385</v>
      </c>
      <c r="H51" s="173">
        <v>707000.8</v>
      </c>
      <c r="I51" s="174" t="s">
        <v>385</v>
      </c>
      <c r="J51" s="173">
        <v>777042.3</v>
      </c>
      <c r="K51" s="174" t="s">
        <v>385</v>
      </c>
      <c r="L51" s="173">
        <v>785618.9</v>
      </c>
      <c r="M51" s="174" t="s">
        <v>385</v>
      </c>
      <c r="N51" s="173">
        <v>760497.1</v>
      </c>
      <c r="O51" s="174" t="s">
        <v>385</v>
      </c>
      <c r="P51" s="173">
        <v>658963.4</v>
      </c>
      <c r="Q51" s="174" t="s">
        <v>385</v>
      </c>
      <c r="R51" s="173">
        <v>679135.8</v>
      </c>
      <c r="S51" s="174" t="s">
        <v>385</v>
      </c>
      <c r="T51" s="173">
        <v>626785.30000000005</v>
      </c>
      <c r="U51" s="174" t="s">
        <v>385</v>
      </c>
      <c r="V51" s="175">
        <v>690246</v>
      </c>
      <c r="W51" s="174" t="s">
        <v>385</v>
      </c>
      <c r="X51" s="173">
        <v>862309.6</v>
      </c>
      <c r="Y51" s="174" t="s">
        <v>385</v>
      </c>
    </row>
    <row r="52" spans="1:25">
      <c r="A52" s="172" t="s">
        <v>428</v>
      </c>
      <c r="B52" s="178">
        <v>4555.8999999999996</v>
      </c>
      <c r="C52" s="177" t="s">
        <v>385</v>
      </c>
      <c r="D52" s="178">
        <v>4797.3</v>
      </c>
      <c r="E52" s="177" t="s">
        <v>385</v>
      </c>
      <c r="F52" s="178">
        <v>5071.3</v>
      </c>
      <c r="G52" s="177" t="s">
        <v>385</v>
      </c>
      <c r="H52" s="178">
        <v>5325.1</v>
      </c>
      <c r="I52" s="177" t="s">
        <v>385</v>
      </c>
      <c r="J52" s="178">
        <v>5674.4</v>
      </c>
      <c r="K52" s="177" t="s">
        <v>385</v>
      </c>
      <c r="L52" s="178">
        <v>6037.3</v>
      </c>
      <c r="M52" s="177" t="s">
        <v>385</v>
      </c>
      <c r="N52" s="178">
        <v>6356.5</v>
      </c>
      <c r="O52" s="177" t="s">
        <v>385</v>
      </c>
      <c r="P52" s="178">
        <v>6671.5</v>
      </c>
      <c r="Q52" s="177" t="s">
        <v>385</v>
      </c>
      <c r="R52" s="178">
        <v>7056.2</v>
      </c>
      <c r="S52" s="177" t="s">
        <v>385</v>
      </c>
      <c r="T52" s="178">
        <v>6771.6</v>
      </c>
      <c r="U52" s="177" t="s">
        <v>385</v>
      </c>
      <c r="V52" s="178">
        <v>7957.9</v>
      </c>
      <c r="W52" s="177" t="s">
        <v>385</v>
      </c>
      <c r="X52" s="178">
        <v>8954.9</v>
      </c>
      <c r="Y52" s="177" t="s">
        <v>394</v>
      </c>
    </row>
    <row r="54" spans="1:25">
      <c r="A54" s="168" t="s">
        <v>429</v>
      </c>
    </row>
    <row r="55" spans="1:25">
      <c r="A55" s="168" t="s">
        <v>417</v>
      </c>
      <c r="B55" s="166" t="s">
        <v>430</v>
      </c>
    </row>
    <row r="56" spans="1:25">
      <c r="A56" s="168" t="s">
        <v>431</v>
      </c>
    </row>
    <row r="57" spans="1:25">
      <c r="A57" s="168" t="s">
        <v>418</v>
      </c>
      <c r="B57" s="166" t="s">
        <v>432</v>
      </c>
    </row>
    <row r="58" spans="1:25">
      <c r="A58" s="168" t="s">
        <v>394</v>
      </c>
      <c r="B58" s="166" t="s">
        <v>433</v>
      </c>
    </row>
  </sheetData>
  <mergeCells count="12">
    <mergeCell ref="X9:Y9"/>
    <mergeCell ref="B9:C9"/>
    <mergeCell ref="D9:E9"/>
    <mergeCell ref="F9:G9"/>
    <mergeCell ref="H9:I9"/>
    <mergeCell ref="J9:K9"/>
    <mergeCell ref="L9:M9"/>
    <mergeCell ref="N9:O9"/>
    <mergeCell ref="P9:Q9"/>
    <mergeCell ref="R9:S9"/>
    <mergeCell ref="T9:U9"/>
    <mergeCell ref="V9:W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93"/>
  <sheetViews>
    <sheetView workbookViewId="0">
      <selection activeCell="A267" sqref="A267:XFD267"/>
    </sheetView>
  </sheetViews>
  <sheetFormatPr baseColWidth="10" defaultRowHeight="14.4"/>
  <cols>
    <col min="1" max="1" width="44.109375" style="179" bestFit="1" customWidth="1"/>
    <col min="2" max="2" width="44.109375" style="179" customWidth="1"/>
    <col min="3" max="3" width="25.6640625" style="179" bestFit="1" customWidth="1"/>
    <col min="4" max="4" width="15.6640625" style="179" bestFit="1" customWidth="1"/>
    <col min="5" max="5" width="15.109375" style="179" bestFit="1" customWidth="1"/>
    <col min="6" max="68" width="12" style="179" bestFit="1" customWidth="1"/>
    <col min="69" max="257" width="8.88671875" style="179" customWidth="1"/>
    <col min="258" max="258" width="44.109375" style="179" bestFit="1" customWidth="1"/>
    <col min="259" max="259" width="25.6640625" style="179" bestFit="1" customWidth="1"/>
    <col min="260" max="260" width="15.6640625" style="179" bestFit="1" customWidth="1"/>
    <col min="261" max="261" width="15.109375" style="179" bestFit="1" customWidth="1"/>
    <col min="262" max="324" width="12" style="179" bestFit="1" customWidth="1"/>
    <col min="325" max="513" width="8.88671875" style="179" customWidth="1"/>
    <col min="514" max="514" width="44.109375" style="179" bestFit="1" customWidth="1"/>
    <col min="515" max="515" width="25.6640625" style="179" bestFit="1" customWidth="1"/>
    <col min="516" max="516" width="15.6640625" style="179" bestFit="1" customWidth="1"/>
    <col min="517" max="517" width="15.109375" style="179" bestFit="1" customWidth="1"/>
    <col min="518" max="580" width="12" style="179" bestFit="1" customWidth="1"/>
    <col min="581" max="769" width="8.88671875" style="179" customWidth="1"/>
    <col min="770" max="770" width="44.109375" style="179" bestFit="1" customWidth="1"/>
    <col min="771" max="771" width="25.6640625" style="179" bestFit="1" customWidth="1"/>
    <col min="772" max="772" width="15.6640625" style="179" bestFit="1" customWidth="1"/>
    <col min="773" max="773" width="15.109375" style="179" bestFit="1" customWidth="1"/>
    <col min="774" max="836" width="12" style="179" bestFit="1" customWidth="1"/>
    <col min="837" max="1025" width="8.88671875" style="179" customWidth="1"/>
    <col min="1026" max="1026" width="44.109375" style="179" bestFit="1" customWidth="1"/>
    <col min="1027" max="1027" width="25.6640625" style="179" bestFit="1" customWidth="1"/>
    <col min="1028" max="1028" width="15.6640625" style="179" bestFit="1" customWidth="1"/>
    <col min="1029" max="1029" width="15.109375" style="179" bestFit="1" customWidth="1"/>
    <col min="1030" max="1092" width="12" style="179" bestFit="1" customWidth="1"/>
    <col min="1093" max="1281" width="8.88671875" style="179" customWidth="1"/>
    <col min="1282" max="1282" width="44.109375" style="179" bestFit="1" customWidth="1"/>
    <col min="1283" max="1283" width="25.6640625" style="179" bestFit="1" customWidth="1"/>
    <col min="1284" max="1284" width="15.6640625" style="179" bestFit="1" customWidth="1"/>
    <col min="1285" max="1285" width="15.109375" style="179" bestFit="1" customWidth="1"/>
    <col min="1286" max="1348" width="12" style="179" bestFit="1" customWidth="1"/>
    <col min="1349" max="1537" width="8.88671875" style="179" customWidth="1"/>
    <col min="1538" max="1538" width="44.109375" style="179" bestFit="1" customWidth="1"/>
    <col min="1539" max="1539" width="25.6640625" style="179" bestFit="1" customWidth="1"/>
    <col min="1540" max="1540" width="15.6640625" style="179" bestFit="1" customWidth="1"/>
    <col min="1541" max="1541" width="15.109375" style="179" bestFit="1" customWidth="1"/>
    <col min="1542" max="1604" width="12" style="179" bestFit="1" customWidth="1"/>
    <col min="1605" max="1793" width="8.88671875" style="179" customWidth="1"/>
    <col min="1794" max="1794" width="44.109375" style="179" bestFit="1" customWidth="1"/>
    <col min="1795" max="1795" width="25.6640625" style="179" bestFit="1" customWidth="1"/>
    <col min="1796" max="1796" width="15.6640625" style="179" bestFit="1" customWidth="1"/>
    <col min="1797" max="1797" width="15.109375" style="179" bestFit="1" customWidth="1"/>
    <col min="1798" max="1860" width="12" style="179" bestFit="1" customWidth="1"/>
    <col min="1861" max="2049" width="8.88671875" style="179" customWidth="1"/>
    <col min="2050" max="2050" width="44.109375" style="179" bestFit="1" customWidth="1"/>
    <col min="2051" max="2051" width="25.6640625" style="179" bestFit="1" customWidth="1"/>
    <col min="2052" max="2052" width="15.6640625" style="179" bestFit="1" customWidth="1"/>
    <col min="2053" max="2053" width="15.109375" style="179" bestFit="1" customWidth="1"/>
    <col min="2054" max="2116" width="12" style="179" bestFit="1" customWidth="1"/>
    <col min="2117" max="2305" width="8.88671875" style="179" customWidth="1"/>
    <col min="2306" max="2306" width="44.109375" style="179" bestFit="1" customWidth="1"/>
    <col min="2307" max="2307" width="25.6640625" style="179" bestFit="1" customWidth="1"/>
    <col min="2308" max="2308" width="15.6640625" style="179" bestFit="1" customWidth="1"/>
    <col min="2309" max="2309" width="15.109375" style="179" bestFit="1" customWidth="1"/>
    <col min="2310" max="2372" width="12" style="179" bestFit="1" customWidth="1"/>
    <col min="2373" max="2561" width="8.88671875" style="179" customWidth="1"/>
    <col min="2562" max="2562" width="44.109375" style="179" bestFit="1" customWidth="1"/>
    <col min="2563" max="2563" width="25.6640625" style="179" bestFit="1" customWidth="1"/>
    <col min="2564" max="2564" width="15.6640625" style="179" bestFit="1" customWidth="1"/>
    <col min="2565" max="2565" width="15.109375" style="179" bestFit="1" customWidth="1"/>
    <col min="2566" max="2628" width="12" style="179" bestFit="1" customWidth="1"/>
    <col min="2629" max="2817" width="8.88671875" style="179" customWidth="1"/>
    <col min="2818" max="2818" width="44.109375" style="179" bestFit="1" customWidth="1"/>
    <col min="2819" max="2819" width="25.6640625" style="179" bestFit="1" customWidth="1"/>
    <col min="2820" max="2820" width="15.6640625" style="179" bestFit="1" customWidth="1"/>
    <col min="2821" max="2821" width="15.109375" style="179" bestFit="1" customWidth="1"/>
    <col min="2822" max="2884" width="12" style="179" bestFit="1" customWidth="1"/>
    <col min="2885" max="3073" width="8.88671875" style="179" customWidth="1"/>
    <col min="3074" max="3074" width="44.109375" style="179" bestFit="1" customWidth="1"/>
    <col min="3075" max="3075" width="25.6640625" style="179" bestFit="1" customWidth="1"/>
    <col min="3076" max="3076" width="15.6640625" style="179" bestFit="1" customWidth="1"/>
    <col min="3077" max="3077" width="15.109375" style="179" bestFit="1" customWidth="1"/>
    <col min="3078" max="3140" width="12" style="179" bestFit="1" customWidth="1"/>
    <col min="3141" max="3329" width="8.88671875" style="179" customWidth="1"/>
    <col min="3330" max="3330" width="44.109375" style="179" bestFit="1" customWidth="1"/>
    <col min="3331" max="3331" width="25.6640625" style="179" bestFit="1" customWidth="1"/>
    <col min="3332" max="3332" width="15.6640625" style="179" bestFit="1" customWidth="1"/>
    <col min="3333" max="3333" width="15.109375" style="179" bestFit="1" customWidth="1"/>
    <col min="3334" max="3396" width="12" style="179" bestFit="1" customWidth="1"/>
    <col min="3397" max="3585" width="8.88671875" style="179" customWidth="1"/>
    <col min="3586" max="3586" width="44.109375" style="179" bestFit="1" customWidth="1"/>
    <col min="3587" max="3587" width="25.6640625" style="179" bestFit="1" customWidth="1"/>
    <col min="3588" max="3588" width="15.6640625" style="179" bestFit="1" customWidth="1"/>
    <col min="3589" max="3589" width="15.109375" style="179" bestFit="1" customWidth="1"/>
    <col min="3590" max="3652" width="12" style="179" bestFit="1" customWidth="1"/>
    <col min="3653" max="3841" width="8.88671875" style="179" customWidth="1"/>
    <col min="3842" max="3842" width="44.109375" style="179" bestFit="1" customWidth="1"/>
    <col min="3843" max="3843" width="25.6640625" style="179" bestFit="1" customWidth="1"/>
    <col min="3844" max="3844" width="15.6640625" style="179" bestFit="1" customWidth="1"/>
    <col min="3845" max="3845" width="15.109375" style="179" bestFit="1" customWidth="1"/>
    <col min="3846" max="3908" width="12" style="179" bestFit="1" customWidth="1"/>
    <col min="3909" max="4097" width="8.88671875" style="179" customWidth="1"/>
    <col min="4098" max="4098" width="44.109375" style="179" bestFit="1" customWidth="1"/>
    <col min="4099" max="4099" width="25.6640625" style="179" bestFit="1" customWidth="1"/>
    <col min="4100" max="4100" width="15.6640625" style="179" bestFit="1" customWidth="1"/>
    <col min="4101" max="4101" width="15.109375" style="179" bestFit="1" customWidth="1"/>
    <col min="4102" max="4164" width="12" style="179" bestFit="1" customWidth="1"/>
    <col min="4165" max="4353" width="8.88671875" style="179" customWidth="1"/>
    <col min="4354" max="4354" width="44.109375" style="179" bestFit="1" customWidth="1"/>
    <col min="4355" max="4355" width="25.6640625" style="179" bestFit="1" customWidth="1"/>
    <col min="4356" max="4356" width="15.6640625" style="179" bestFit="1" customWidth="1"/>
    <col min="4357" max="4357" width="15.109375" style="179" bestFit="1" customWidth="1"/>
    <col min="4358" max="4420" width="12" style="179" bestFit="1" customWidth="1"/>
    <col min="4421" max="4609" width="8.88671875" style="179" customWidth="1"/>
    <col min="4610" max="4610" width="44.109375" style="179" bestFit="1" customWidth="1"/>
    <col min="4611" max="4611" width="25.6640625" style="179" bestFit="1" customWidth="1"/>
    <col min="4612" max="4612" width="15.6640625" style="179" bestFit="1" customWidth="1"/>
    <col min="4613" max="4613" width="15.109375" style="179" bestFit="1" customWidth="1"/>
    <col min="4614" max="4676" width="12" style="179" bestFit="1" customWidth="1"/>
    <col min="4677" max="4865" width="8.88671875" style="179" customWidth="1"/>
    <col min="4866" max="4866" width="44.109375" style="179" bestFit="1" customWidth="1"/>
    <col min="4867" max="4867" width="25.6640625" style="179" bestFit="1" customWidth="1"/>
    <col min="4868" max="4868" width="15.6640625" style="179" bestFit="1" customWidth="1"/>
    <col min="4869" max="4869" width="15.109375" style="179" bestFit="1" customWidth="1"/>
    <col min="4870" max="4932" width="12" style="179" bestFit="1" customWidth="1"/>
    <col min="4933" max="5121" width="8.88671875" style="179" customWidth="1"/>
    <col min="5122" max="5122" width="44.109375" style="179" bestFit="1" customWidth="1"/>
    <col min="5123" max="5123" width="25.6640625" style="179" bestFit="1" customWidth="1"/>
    <col min="5124" max="5124" width="15.6640625" style="179" bestFit="1" customWidth="1"/>
    <col min="5125" max="5125" width="15.109375" style="179" bestFit="1" customWidth="1"/>
    <col min="5126" max="5188" width="12" style="179" bestFit="1" customWidth="1"/>
    <col min="5189" max="5377" width="8.88671875" style="179" customWidth="1"/>
    <col min="5378" max="5378" width="44.109375" style="179" bestFit="1" customWidth="1"/>
    <col min="5379" max="5379" width="25.6640625" style="179" bestFit="1" customWidth="1"/>
    <col min="5380" max="5380" width="15.6640625" style="179" bestFit="1" customWidth="1"/>
    <col min="5381" max="5381" width="15.109375" style="179" bestFit="1" customWidth="1"/>
    <col min="5382" max="5444" width="12" style="179" bestFit="1" customWidth="1"/>
    <col min="5445" max="5633" width="8.88671875" style="179" customWidth="1"/>
    <col min="5634" max="5634" width="44.109375" style="179" bestFit="1" customWidth="1"/>
    <col min="5635" max="5635" width="25.6640625" style="179" bestFit="1" customWidth="1"/>
    <col min="5636" max="5636" width="15.6640625" style="179" bestFit="1" customWidth="1"/>
    <col min="5637" max="5637" width="15.109375" style="179" bestFit="1" customWidth="1"/>
    <col min="5638" max="5700" width="12" style="179" bestFit="1" customWidth="1"/>
    <col min="5701" max="5889" width="8.88671875" style="179" customWidth="1"/>
    <col min="5890" max="5890" width="44.109375" style="179" bestFit="1" customWidth="1"/>
    <col min="5891" max="5891" width="25.6640625" style="179" bestFit="1" customWidth="1"/>
    <col min="5892" max="5892" width="15.6640625" style="179" bestFit="1" customWidth="1"/>
    <col min="5893" max="5893" width="15.109375" style="179" bestFit="1" customWidth="1"/>
    <col min="5894" max="5956" width="12" style="179" bestFit="1" customWidth="1"/>
    <col min="5957" max="6145" width="8.88671875" style="179" customWidth="1"/>
    <col min="6146" max="6146" width="44.109375" style="179" bestFit="1" customWidth="1"/>
    <col min="6147" max="6147" width="25.6640625" style="179" bestFit="1" customWidth="1"/>
    <col min="6148" max="6148" width="15.6640625" style="179" bestFit="1" customWidth="1"/>
    <col min="6149" max="6149" width="15.109375" style="179" bestFit="1" customWidth="1"/>
    <col min="6150" max="6212" width="12" style="179" bestFit="1" customWidth="1"/>
    <col min="6213" max="6401" width="8.88671875" style="179" customWidth="1"/>
    <col min="6402" max="6402" width="44.109375" style="179" bestFit="1" customWidth="1"/>
    <col min="6403" max="6403" width="25.6640625" style="179" bestFit="1" customWidth="1"/>
    <col min="6404" max="6404" width="15.6640625" style="179" bestFit="1" customWidth="1"/>
    <col min="6405" max="6405" width="15.109375" style="179" bestFit="1" customWidth="1"/>
    <col min="6406" max="6468" width="12" style="179" bestFit="1" customWidth="1"/>
    <col min="6469" max="6657" width="8.88671875" style="179" customWidth="1"/>
    <col min="6658" max="6658" width="44.109375" style="179" bestFit="1" customWidth="1"/>
    <col min="6659" max="6659" width="25.6640625" style="179" bestFit="1" customWidth="1"/>
    <col min="6660" max="6660" width="15.6640625" style="179" bestFit="1" customWidth="1"/>
    <col min="6661" max="6661" width="15.109375" style="179" bestFit="1" customWidth="1"/>
    <col min="6662" max="6724" width="12" style="179" bestFit="1" customWidth="1"/>
    <col min="6725" max="6913" width="8.88671875" style="179" customWidth="1"/>
    <col min="6914" max="6914" width="44.109375" style="179" bestFit="1" customWidth="1"/>
    <col min="6915" max="6915" width="25.6640625" style="179" bestFit="1" customWidth="1"/>
    <col min="6916" max="6916" width="15.6640625" style="179" bestFit="1" customWidth="1"/>
    <col min="6917" max="6917" width="15.109375" style="179" bestFit="1" customWidth="1"/>
    <col min="6918" max="6980" width="12" style="179" bestFit="1" customWidth="1"/>
    <col min="6981" max="7169" width="8.88671875" style="179" customWidth="1"/>
    <col min="7170" max="7170" width="44.109375" style="179" bestFit="1" customWidth="1"/>
    <col min="7171" max="7171" width="25.6640625" style="179" bestFit="1" customWidth="1"/>
    <col min="7172" max="7172" width="15.6640625" style="179" bestFit="1" customWidth="1"/>
    <col min="7173" max="7173" width="15.109375" style="179" bestFit="1" customWidth="1"/>
    <col min="7174" max="7236" width="12" style="179" bestFit="1" customWidth="1"/>
    <col min="7237" max="7425" width="8.88671875" style="179" customWidth="1"/>
    <col min="7426" max="7426" width="44.109375" style="179" bestFit="1" customWidth="1"/>
    <col min="7427" max="7427" width="25.6640625" style="179" bestFit="1" customWidth="1"/>
    <col min="7428" max="7428" width="15.6640625" style="179" bestFit="1" customWidth="1"/>
    <col min="7429" max="7429" width="15.109375" style="179" bestFit="1" customWidth="1"/>
    <col min="7430" max="7492" width="12" style="179" bestFit="1" customWidth="1"/>
    <col min="7493" max="7681" width="8.88671875" style="179" customWidth="1"/>
    <col min="7682" max="7682" width="44.109375" style="179" bestFit="1" customWidth="1"/>
    <col min="7683" max="7683" width="25.6640625" style="179" bestFit="1" customWidth="1"/>
    <col min="7684" max="7684" width="15.6640625" style="179" bestFit="1" customWidth="1"/>
    <col min="7685" max="7685" width="15.109375" style="179" bestFit="1" customWidth="1"/>
    <col min="7686" max="7748" width="12" style="179" bestFit="1" customWidth="1"/>
    <col min="7749" max="7937" width="8.88671875" style="179" customWidth="1"/>
    <col min="7938" max="7938" width="44.109375" style="179" bestFit="1" customWidth="1"/>
    <col min="7939" max="7939" width="25.6640625" style="179" bestFit="1" customWidth="1"/>
    <col min="7940" max="7940" width="15.6640625" style="179" bestFit="1" customWidth="1"/>
    <col min="7941" max="7941" width="15.109375" style="179" bestFit="1" customWidth="1"/>
    <col min="7942" max="8004" width="12" style="179" bestFit="1" customWidth="1"/>
    <col min="8005" max="8193" width="8.88671875" style="179" customWidth="1"/>
    <col min="8194" max="8194" width="44.109375" style="179" bestFit="1" customWidth="1"/>
    <col min="8195" max="8195" width="25.6640625" style="179" bestFit="1" customWidth="1"/>
    <col min="8196" max="8196" width="15.6640625" style="179" bestFit="1" customWidth="1"/>
    <col min="8197" max="8197" width="15.109375" style="179" bestFit="1" customWidth="1"/>
    <col min="8198" max="8260" width="12" style="179" bestFit="1" customWidth="1"/>
    <col min="8261" max="8449" width="8.88671875" style="179" customWidth="1"/>
    <col min="8450" max="8450" width="44.109375" style="179" bestFit="1" customWidth="1"/>
    <col min="8451" max="8451" width="25.6640625" style="179" bestFit="1" customWidth="1"/>
    <col min="8452" max="8452" width="15.6640625" style="179" bestFit="1" customWidth="1"/>
    <col min="8453" max="8453" width="15.109375" style="179" bestFit="1" customWidth="1"/>
    <col min="8454" max="8516" width="12" style="179" bestFit="1" customWidth="1"/>
    <col min="8517" max="8705" width="8.88671875" style="179" customWidth="1"/>
    <col min="8706" max="8706" width="44.109375" style="179" bestFit="1" customWidth="1"/>
    <col min="8707" max="8707" width="25.6640625" style="179" bestFit="1" customWidth="1"/>
    <col min="8708" max="8708" width="15.6640625" style="179" bestFit="1" customWidth="1"/>
    <col min="8709" max="8709" width="15.109375" style="179" bestFit="1" customWidth="1"/>
    <col min="8710" max="8772" width="12" style="179" bestFit="1" customWidth="1"/>
    <col min="8773" max="8961" width="8.88671875" style="179" customWidth="1"/>
    <col min="8962" max="8962" width="44.109375" style="179" bestFit="1" customWidth="1"/>
    <col min="8963" max="8963" width="25.6640625" style="179" bestFit="1" customWidth="1"/>
    <col min="8964" max="8964" width="15.6640625" style="179" bestFit="1" customWidth="1"/>
    <col min="8965" max="8965" width="15.109375" style="179" bestFit="1" customWidth="1"/>
    <col min="8966" max="9028" width="12" style="179" bestFit="1" customWidth="1"/>
    <col min="9029" max="9217" width="8.88671875" style="179" customWidth="1"/>
    <col min="9218" max="9218" width="44.109375" style="179" bestFit="1" customWidth="1"/>
    <col min="9219" max="9219" width="25.6640625" style="179" bestFit="1" customWidth="1"/>
    <col min="9220" max="9220" width="15.6640625" style="179" bestFit="1" customWidth="1"/>
    <col min="9221" max="9221" width="15.109375" style="179" bestFit="1" customWidth="1"/>
    <col min="9222" max="9284" width="12" style="179" bestFit="1" customWidth="1"/>
    <col min="9285" max="9473" width="8.88671875" style="179" customWidth="1"/>
    <col min="9474" max="9474" width="44.109375" style="179" bestFit="1" customWidth="1"/>
    <col min="9475" max="9475" width="25.6640625" style="179" bestFit="1" customWidth="1"/>
    <col min="9476" max="9476" width="15.6640625" style="179" bestFit="1" customWidth="1"/>
    <col min="9477" max="9477" width="15.109375" style="179" bestFit="1" customWidth="1"/>
    <col min="9478" max="9540" width="12" style="179" bestFit="1" customWidth="1"/>
    <col min="9541" max="9729" width="8.88671875" style="179" customWidth="1"/>
    <col min="9730" max="9730" width="44.109375" style="179" bestFit="1" customWidth="1"/>
    <col min="9731" max="9731" width="25.6640625" style="179" bestFit="1" customWidth="1"/>
    <col min="9732" max="9732" width="15.6640625" style="179" bestFit="1" customWidth="1"/>
    <col min="9733" max="9733" width="15.109375" style="179" bestFit="1" customWidth="1"/>
    <col min="9734" max="9796" width="12" style="179" bestFit="1" customWidth="1"/>
    <col min="9797" max="9985" width="8.88671875" style="179" customWidth="1"/>
    <col min="9986" max="9986" width="44.109375" style="179" bestFit="1" customWidth="1"/>
    <col min="9987" max="9987" width="25.6640625" style="179" bestFit="1" customWidth="1"/>
    <col min="9988" max="9988" width="15.6640625" style="179" bestFit="1" customWidth="1"/>
    <col min="9989" max="9989" width="15.109375" style="179" bestFit="1" customWidth="1"/>
    <col min="9990" max="10052" width="12" style="179" bestFit="1" customWidth="1"/>
    <col min="10053" max="10241" width="8.88671875" style="179" customWidth="1"/>
    <col min="10242" max="10242" width="44.109375" style="179" bestFit="1" customWidth="1"/>
    <col min="10243" max="10243" width="25.6640625" style="179" bestFit="1" customWidth="1"/>
    <col min="10244" max="10244" width="15.6640625" style="179" bestFit="1" customWidth="1"/>
    <col min="10245" max="10245" width="15.109375" style="179" bestFit="1" customWidth="1"/>
    <col min="10246" max="10308" width="12" style="179" bestFit="1" customWidth="1"/>
    <col min="10309" max="10497" width="8.88671875" style="179" customWidth="1"/>
    <col min="10498" max="10498" width="44.109375" style="179" bestFit="1" customWidth="1"/>
    <col min="10499" max="10499" width="25.6640625" style="179" bestFit="1" customWidth="1"/>
    <col min="10500" max="10500" width="15.6640625" style="179" bestFit="1" customWidth="1"/>
    <col min="10501" max="10501" width="15.109375" style="179" bestFit="1" customWidth="1"/>
    <col min="10502" max="10564" width="12" style="179" bestFit="1" customWidth="1"/>
    <col min="10565" max="10753" width="8.88671875" style="179" customWidth="1"/>
    <col min="10754" max="10754" width="44.109375" style="179" bestFit="1" customWidth="1"/>
    <col min="10755" max="10755" width="25.6640625" style="179" bestFit="1" customWidth="1"/>
    <col min="10756" max="10756" width="15.6640625" style="179" bestFit="1" customWidth="1"/>
    <col min="10757" max="10757" width="15.109375" style="179" bestFit="1" customWidth="1"/>
    <col min="10758" max="10820" width="12" style="179" bestFit="1" customWidth="1"/>
    <col min="10821" max="11009" width="8.88671875" style="179" customWidth="1"/>
    <col min="11010" max="11010" width="44.109375" style="179" bestFit="1" customWidth="1"/>
    <col min="11011" max="11011" width="25.6640625" style="179" bestFit="1" customWidth="1"/>
    <col min="11012" max="11012" width="15.6640625" style="179" bestFit="1" customWidth="1"/>
    <col min="11013" max="11013" width="15.109375" style="179" bestFit="1" customWidth="1"/>
    <col min="11014" max="11076" width="12" style="179" bestFit="1" customWidth="1"/>
    <col min="11077" max="11265" width="8.88671875" style="179" customWidth="1"/>
    <col min="11266" max="11266" width="44.109375" style="179" bestFit="1" customWidth="1"/>
    <col min="11267" max="11267" width="25.6640625" style="179" bestFit="1" customWidth="1"/>
    <col min="11268" max="11268" width="15.6640625" style="179" bestFit="1" customWidth="1"/>
    <col min="11269" max="11269" width="15.109375" style="179" bestFit="1" customWidth="1"/>
    <col min="11270" max="11332" width="12" style="179" bestFit="1" customWidth="1"/>
    <col min="11333" max="11521" width="8.88671875" style="179" customWidth="1"/>
    <col min="11522" max="11522" width="44.109375" style="179" bestFit="1" customWidth="1"/>
    <col min="11523" max="11523" width="25.6640625" style="179" bestFit="1" customWidth="1"/>
    <col min="11524" max="11524" width="15.6640625" style="179" bestFit="1" customWidth="1"/>
    <col min="11525" max="11525" width="15.109375" style="179" bestFit="1" customWidth="1"/>
    <col min="11526" max="11588" width="12" style="179" bestFit="1" customWidth="1"/>
    <col min="11589" max="11777" width="8.88671875" style="179" customWidth="1"/>
    <col min="11778" max="11778" width="44.109375" style="179" bestFit="1" customWidth="1"/>
    <col min="11779" max="11779" width="25.6640625" style="179" bestFit="1" customWidth="1"/>
    <col min="11780" max="11780" width="15.6640625" style="179" bestFit="1" customWidth="1"/>
    <col min="11781" max="11781" width="15.109375" style="179" bestFit="1" customWidth="1"/>
    <col min="11782" max="11844" width="12" style="179" bestFit="1" customWidth="1"/>
    <col min="11845" max="12033" width="8.88671875" style="179" customWidth="1"/>
    <col min="12034" max="12034" width="44.109375" style="179" bestFit="1" customWidth="1"/>
    <col min="12035" max="12035" width="25.6640625" style="179" bestFit="1" customWidth="1"/>
    <col min="12036" max="12036" width="15.6640625" style="179" bestFit="1" customWidth="1"/>
    <col min="12037" max="12037" width="15.109375" style="179" bestFit="1" customWidth="1"/>
    <col min="12038" max="12100" width="12" style="179" bestFit="1" customWidth="1"/>
    <col min="12101" max="12289" width="8.88671875" style="179" customWidth="1"/>
    <col min="12290" max="12290" width="44.109375" style="179" bestFit="1" customWidth="1"/>
    <col min="12291" max="12291" width="25.6640625" style="179" bestFit="1" customWidth="1"/>
    <col min="12292" max="12292" width="15.6640625" style="179" bestFit="1" customWidth="1"/>
    <col min="12293" max="12293" width="15.109375" style="179" bestFit="1" customWidth="1"/>
    <col min="12294" max="12356" width="12" style="179" bestFit="1" customWidth="1"/>
    <col min="12357" max="12545" width="8.88671875" style="179" customWidth="1"/>
    <col min="12546" max="12546" width="44.109375" style="179" bestFit="1" customWidth="1"/>
    <col min="12547" max="12547" width="25.6640625" style="179" bestFit="1" customWidth="1"/>
    <col min="12548" max="12548" width="15.6640625" style="179" bestFit="1" customWidth="1"/>
    <col min="12549" max="12549" width="15.109375" style="179" bestFit="1" customWidth="1"/>
    <col min="12550" max="12612" width="12" style="179" bestFit="1" customWidth="1"/>
    <col min="12613" max="12801" width="8.88671875" style="179" customWidth="1"/>
    <col min="12802" max="12802" width="44.109375" style="179" bestFit="1" customWidth="1"/>
    <col min="12803" max="12803" width="25.6640625" style="179" bestFit="1" customWidth="1"/>
    <col min="12804" max="12804" width="15.6640625" style="179" bestFit="1" customWidth="1"/>
    <col min="12805" max="12805" width="15.109375" style="179" bestFit="1" customWidth="1"/>
    <col min="12806" max="12868" width="12" style="179" bestFit="1" customWidth="1"/>
    <col min="12869" max="13057" width="8.88671875" style="179" customWidth="1"/>
    <col min="13058" max="13058" width="44.109375" style="179" bestFit="1" customWidth="1"/>
    <col min="13059" max="13059" width="25.6640625" style="179" bestFit="1" customWidth="1"/>
    <col min="13060" max="13060" width="15.6640625" style="179" bestFit="1" customWidth="1"/>
    <col min="13061" max="13061" width="15.109375" style="179" bestFit="1" customWidth="1"/>
    <col min="13062" max="13124" width="12" style="179" bestFit="1" customWidth="1"/>
    <col min="13125" max="13313" width="8.88671875" style="179" customWidth="1"/>
    <col min="13314" max="13314" width="44.109375" style="179" bestFit="1" customWidth="1"/>
    <col min="13315" max="13315" width="25.6640625" style="179" bestFit="1" customWidth="1"/>
    <col min="13316" max="13316" width="15.6640625" style="179" bestFit="1" customWidth="1"/>
    <col min="13317" max="13317" width="15.109375" style="179" bestFit="1" customWidth="1"/>
    <col min="13318" max="13380" width="12" style="179" bestFit="1" customWidth="1"/>
    <col min="13381" max="13569" width="8.88671875" style="179" customWidth="1"/>
    <col min="13570" max="13570" width="44.109375" style="179" bestFit="1" customWidth="1"/>
    <col min="13571" max="13571" width="25.6640625" style="179" bestFit="1" customWidth="1"/>
    <col min="13572" max="13572" width="15.6640625" style="179" bestFit="1" customWidth="1"/>
    <col min="13573" max="13573" width="15.109375" style="179" bestFit="1" customWidth="1"/>
    <col min="13574" max="13636" width="12" style="179" bestFit="1" customWidth="1"/>
    <col min="13637" max="13825" width="8.88671875" style="179" customWidth="1"/>
    <col min="13826" max="13826" width="44.109375" style="179" bestFit="1" customWidth="1"/>
    <col min="13827" max="13827" width="25.6640625" style="179" bestFit="1" customWidth="1"/>
    <col min="13828" max="13828" width="15.6640625" style="179" bestFit="1" customWidth="1"/>
    <col min="13829" max="13829" width="15.109375" style="179" bestFit="1" customWidth="1"/>
    <col min="13830" max="13892" width="12" style="179" bestFit="1" customWidth="1"/>
    <col min="13893" max="14081" width="8.88671875" style="179" customWidth="1"/>
    <col min="14082" max="14082" width="44.109375" style="179" bestFit="1" customWidth="1"/>
    <col min="14083" max="14083" width="25.6640625" style="179" bestFit="1" customWidth="1"/>
    <col min="14084" max="14084" width="15.6640625" style="179" bestFit="1" customWidth="1"/>
    <col min="14085" max="14085" width="15.109375" style="179" bestFit="1" customWidth="1"/>
    <col min="14086" max="14148" width="12" style="179" bestFit="1" customWidth="1"/>
    <col min="14149" max="14337" width="8.88671875" style="179" customWidth="1"/>
    <col min="14338" max="14338" width="44.109375" style="179" bestFit="1" customWidth="1"/>
    <col min="14339" max="14339" width="25.6640625" style="179" bestFit="1" customWidth="1"/>
    <col min="14340" max="14340" width="15.6640625" style="179" bestFit="1" customWidth="1"/>
    <col min="14341" max="14341" width="15.109375" style="179" bestFit="1" customWidth="1"/>
    <col min="14342" max="14404" width="12" style="179" bestFit="1" customWidth="1"/>
    <col min="14405" max="14593" width="8.88671875" style="179" customWidth="1"/>
    <col min="14594" max="14594" width="44.109375" style="179" bestFit="1" customWidth="1"/>
    <col min="14595" max="14595" width="25.6640625" style="179" bestFit="1" customWidth="1"/>
    <col min="14596" max="14596" width="15.6640625" style="179" bestFit="1" customWidth="1"/>
    <col min="14597" max="14597" width="15.109375" style="179" bestFit="1" customWidth="1"/>
    <col min="14598" max="14660" width="12" style="179" bestFit="1" customWidth="1"/>
    <col min="14661" max="14849" width="8.88671875" style="179" customWidth="1"/>
    <col min="14850" max="14850" width="44.109375" style="179" bestFit="1" customWidth="1"/>
    <col min="14851" max="14851" width="25.6640625" style="179" bestFit="1" customWidth="1"/>
    <col min="14852" max="14852" width="15.6640625" style="179" bestFit="1" customWidth="1"/>
    <col min="14853" max="14853" width="15.109375" style="179" bestFit="1" customWidth="1"/>
    <col min="14854" max="14916" width="12" style="179" bestFit="1" customWidth="1"/>
    <col min="14917" max="15105" width="8.88671875" style="179" customWidth="1"/>
    <col min="15106" max="15106" width="44.109375" style="179" bestFit="1" customWidth="1"/>
    <col min="15107" max="15107" width="25.6640625" style="179" bestFit="1" customWidth="1"/>
    <col min="15108" max="15108" width="15.6640625" style="179" bestFit="1" customWidth="1"/>
    <col min="15109" max="15109" width="15.109375" style="179" bestFit="1" customWidth="1"/>
    <col min="15110" max="15172" width="12" style="179" bestFit="1" customWidth="1"/>
    <col min="15173" max="15361" width="8.88671875" style="179" customWidth="1"/>
    <col min="15362" max="15362" width="44.109375" style="179" bestFit="1" customWidth="1"/>
    <col min="15363" max="15363" width="25.6640625" style="179" bestFit="1" customWidth="1"/>
    <col min="15364" max="15364" width="15.6640625" style="179" bestFit="1" customWidth="1"/>
    <col min="15365" max="15365" width="15.109375" style="179" bestFit="1" customWidth="1"/>
    <col min="15366" max="15428" width="12" style="179" bestFit="1" customWidth="1"/>
    <col min="15429" max="15617" width="8.88671875" style="179" customWidth="1"/>
    <col min="15618" max="15618" width="44.109375" style="179" bestFit="1" customWidth="1"/>
    <col min="15619" max="15619" width="25.6640625" style="179" bestFit="1" customWidth="1"/>
    <col min="15620" max="15620" width="15.6640625" style="179" bestFit="1" customWidth="1"/>
    <col min="15621" max="15621" width="15.109375" style="179" bestFit="1" customWidth="1"/>
    <col min="15622" max="15684" width="12" style="179" bestFit="1" customWidth="1"/>
    <col min="15685" max="15873" width="8.88671875" style="179" customWidth="1"/>
    <col min="15874" max="15874" width="44.109375" style="179" bestFit="1" customWidth="1"/>
    <col min="15875" max="15875" width="25.6640625" style="179" bestFit="1" customWidth="1"/>
    <col min="15876" max="15876" width="15.6640625" style="179" bestFit="1" customWidth="1"/>
    <col min="15877" max="15877" width="15.109375" style="179" bestFit="1" customWidth="1"/>
    <col min="15878" max="15940" width="12" style="179" bestFit="1" customWidth="1"/>
    <col min="15941" max="16129" width="8.88671875" style="179" customWidth="1"/>
    <col min="16130" max="16130" width="44.109375" style="179" bestFit="1" customWidth="1"/>
    <col min="16131" max="16131" width="25.6640625" style="179" bestFit="1" customWidth="1"/>
    <col min="16132" max="16132" width="15.6640625" style="179" bestFit="1" customWidth="1"/>
    <col min="16133" max="16133" width="15.109375" style="179" bestFit="1" customWidth="1"/>
    <col min="16134" max="16196" width="12" style="179" bestFit="1" customWidth="1"/>
    <col min="16197" max="16384" width="8.88671875" style="179" customWidth="1"/>
  </cols>
  <sheetData>
    <row r="1" spans="1:68">
      <c r="A1" s="179" t="s">
        <v>434</v>
      </c>
      <c r="C1" s="179" t="s">
        <v>435</v>
      </c>
      <c r="BP1" s="179">
        <f>SUM(BP6,BP8,BP78,BP158)</f>
        <v>1332914572225.2275</v>
      </c>
    </row>
    <row r="2" spans="1:68">
      <c r="A2" s="179" t="s">
        <v>436</v>
      </c>
      <c r="C2" s="180">
        <v>45184</v>
      </c>
    </row>
    <row r="4" spans="1:68">
      <c r="A4" s="179" t="s">
        <v>437</v>
      </c>
      <c r="B4" s="222" t="s">
        <v>1177</v>
      </c>
      <c r="C4" s="179" t="s">
        <v>438</v>
      </c>
      <c r="D4" s="179" t="s">
        <v>439</v>
      </c>
      <c r="E4" s="179" t="s">
        <v>440</v>
      </c>
      <c r="F4" s="179" t="s">
        <v>441</v>
      </c>
      <c r="G4" s="179" t="s">
        <v>442</v>
      </c>
      <c r="H4" s="179" t="s">
        <v>443</v>
      </c>
      <c r="I4" s="179" t="s">
        <v>444</v>
      </c>
      <c r="J4" s="179" t="s">
        <v>445</v>
      </c>
      <c r="K4" s="179" t="s">
        <v>446</v>
      </c>
      <c r="L4" s="179" t="s">
        <v>447</v>
      </c>
      <c r="M4" s="179" t="s">
        <v>448</v>
      </c>
      <c r="N4" s="179" t="s">
        <v>449</v>
      </c>
      <c r="O4" s="179" t="s">
        <v>450</v>
      </c>
      <c r="P4" s="179" t="s">
        <v>451</v>
      </c>
      <c r="Q4" s="179" t="s">
        <v>452</v>
      </c>
      <c r="R4" s="179" t="s">
        <v>453</v>
      </c>
      <c r="S4" s="179" t="s">
        <v>454</v>
      </c>
      <c r="T4" s="179" t="s">
        <v>455</v>
      </c>
      <c r="U4" s="179" t="s">
        <v>456</v>
      </c>
      <c r="V4" s="179" t="s">
        <v>457</v>
      </c>
      <c r="W4" s="179" t="s">
        <v>458</v>
      </c>
      <c r="X4" s="179" t="s">
        <v>459</v>
      </c>
      <c r="Y4" s="179" t="s">
        <v>460</v>
      </c>
      <c r="Z4" s="179" t="s">
        <v>461</v>
      </c>
      <c r="AA4" s="179" t="s">
        <v>462</v>
      </c>
      <c r="AB4" s="179" t="s">
        <v>463</v>
      </c>
      <c r="AC4" s="179" t="s">
        <v>464</v>
      </c>
      <c r="AD4" s="179" t="s">
        <v>465</v>
      </c>
      <c r="AE4" s="179" t="s">
        <v>466</v>
      </c>
      <c r="AF4" s="179" t="s">
        <v>467</v>
      </c>
      <c r="AG4" s="179" t="s">
        <v>468</v>
      </c>
      <c r="AH4" s="179" t="s">
        <v>469</v>
      </c>
      <c r="AI4" s="179" t="s">
        <v>470</v>
      </c>
      <c r="AJ4" s="179" t="s">
        <v>471</v>
      </c>
      <c r="AK4" s="179" t="s">
        <v>472</v>
      </c>
      <c r="AL4" s="179" t="s">
        <v>473</v>
      </c>
      <c r="AM4" s="179" t="s">
        <v>474</v>
      </c>
      <c r="AN4" s="179" t="s">
        <v>475</v>
      </c>
      <c r="AO4" s="179" t="s">
        <v>476</v>
      </c>
      <c r="AP4" s="179" t="s">
        <v>477</v>
      </c>
      <c r="AQ4" s="179" t="s">
        <v>478</v>
      </c>
      <c r="AR4" s="179" t="s">
        <v>479</v>
      </c>
      <c r="AS4" s="179" t="s">
        <v>480</v>
      </c>
      <c r="AT4" s="179" t="s">
        <v>481</v>
      </c>
      <c r="AU4" s="179" t="s">
        <v>482</v>
      </c>
      <c r="AV4" s="179" t="s">
        <v>483</v>
      </c>
      <c r="AW4" s="179" t="s">
        <v>484</v>
      </c>
      <c r="AX4" s="179" t="s">
        <v>485</v>
      </c>
      <c r="AY4" s="179" t="s">
        <v>486</v>
      </c>
      <c r="AZ4" s="179" t="s">
        <v>487</v>
      </c>
      <c r="BA4" s="179" t="s">
        <v>488</v>
      </c>
      <c r="BB4" s="179" t="s">
        <v>489</v>
      </c>
      <c r="BC4" s="179" t="s">
        <v>490</v>
      </c>
      <c r="BD4" s="179" t="s">
        <v>491</v>
      </c>
      <c r="BE4" s="179" t="s">
        <v>384</v>
      </c>
      <c r="BF4" s="179" t="s">
        <v>386</v>
      </c>
      <c r="BG4" s="179" t="s">
        <v>387</v>
      </c>
      <c r="BH4" s="179" t="s">
        <v>388</v>
      </c>
      <c r="BI4" s="179" t="s">
        <v>389</v>
      </c>
      <c r="BJ4" s="179" t="s">
        <v>0</v>
      </c>
      <c r="BK4" s="179" t="s">
        <v>1</v>
      </c>
      <c r="BL4" s="179" t="s">
        <v>2</v>
      </c>
      <c r="BM4" s="179" t="s">
        <v>3</v>
      </c>
      <c r="BN4" s="179" t="s">
        <v>4</v>
      </c>
      <c r="BO4" s="179" t="s">
        <v>365</v>
      </c>
      <c r="BP4" s="179" t="s">
        <v>366</v>
      </c>
    </row>
    <row r="5" spans="1:68">
      <c r="A5" s="179" t="s">
        <v>498</v>
      </c>
      <c r="B5" s="179">
        <f t="shared" ref="B5:B68" si="0">COUNTIF($E$273:$E$393,A5)</f>
        <v>0</v>
      </c>
      <c r="C5" s="179" t="s">
        <v>499</v>
      </c>
      <c r="D5" s="179" t="s">
        <v>494</v>
      </c>
      <c r="E5" s="179" t="s">
        <v>495</v>
      </c>
      <c r="F5" s="179">
        <v>537777811.11111116</v>
      </c>
      <c r="G5" s="179">
        <v>548888895.55555558</v>
      </c>
      <c r="H5" s="179">
        <v>546666677.77777779</v>
      </c>
      <c r="I5" s="179">
        <v>751111191.11111104</v>
      </c>
      <c r="J5" s="179">
        <v>800000044.44444442</v>
      </c>
      <c r="K5" s="179">
        <v>1006666637.7777778</v>
      </c>
      <c r="L5" s="179">
        <v>1399999966.6666667</v>
      </c>
      <c r="M5" s="179">
        <v>1673333417.7777777</v>
      </c>
      <c r="N5" s="179">
        <v>1373333366.6666667</v>
      </c>
      <c r="O5" s="179">
        <v>1408888922.2222223</v>
      </c>
      <c r="P5" s="179">
        <v>1748886595.5555556</v>
      </c>
      <c r="Q5" s="179">
        <v>1831108971.1111112</v>
      </c>
      <c r="R5" s="179">
        <v>1595555475.5555556</v>
      </c>
      <c r="S5" s="179">
        <v>1733333264.4444444</v>
      </c>
      <c r="T5" s="179">
        <v>2155555497.7777777</v>
      </c>
      <c r="U5" s="179">
        <v>2366666615.5555553</v>
      </c>
      <c r="V5" s="179">
        <v>2555555566.6666665</v>
      </c>
      <c r="W5" s="179">
        <v>2953333417.7777777</v>
      </c>
      <c r="X5" s="179">
        <v>3300000108.8888888</v>
      </c>
      <c r="Y5" s="179">
        <v>3697940409.6109838</v>
      </c>
      <c r="Z5" s="179">
        <v>3641723321.9954648</v>
      </c>
      <c r="AA5" s="179">
        <v>3478787909.090909</v>
      </c>
      <c r="AV5" s="179">
        <v>3854235264.3717074</v>
      </c>
      <c r="AW5" s="179">
        <v>4539496562.9537268</v>
      </c>
      <c r="AX5" s="179">
        <v>5220825048.6463661</v>
      </c>
      <c r="AY5" s="179">
        <v>6226198934.8332949</v>
      </c>
      <c r="AZ5" s="179">
        <v>6971383338.7080297</v>
      </c>
      <c r="BA5" s="179">
        <v>9715765105.4801636</v>
      </c>
      <c r="BB5" s="179">
        <v>10249770318.5697</v>
      </c>
      <c r="BC5" s="179">
        <v>12154835707.898659</v>
      </c>
      <c r="BD5" s="179">
        <v>15633843661.805069</v>
      </c>
      <c r="BE5" s="179">
        <v>18190413831.903652</v>
      </c>
      <c r="BF5" s="179">
        <v>20203572959.502293</v>
      </c>
      <c r="BG5" s="179">
        <v>20564485419.168434</v>
      </c>
      <c r="BH5" s="179">
        <v>20550582746.844841</v>
      </c>
      <c r="BI5" s="179">
        <v>19998143635.872986</v>
      </c>
      <c r="BJ5" s="179">
        <v>18019554403.450321</v>
      </c>
      <c r="BK5" s="179">
        <v>18896353155.883923</v>
      </c>
      <c r="BL5" s="179">
        <v>18418860354.423775</v>
      </c>
      <c r="BM5" s="179">
        <v>18904502222.210789</v>
      </c>
      <c r="BN5" s="179">
        <v>20143451705.754845</v>
      </c>
      <c r="BO5" s="179">
        <v>14583135236.574402</v>
      </c>
    </row>
    <row r="6" spans="1:68">
      <c r="A6" s="221" t="s">
        <v>496</v>
      </c>
      <c r="B6" s="179">
        <f t="shared" si="0"/>
        <v>0</v>
      </c>
      <c r="C6" s="179" t="s">
        <v>497</v>
      </c>
      <c r="D6" s="179" t="s">
        <v>494</v>
      </c>
      <c r="E6" s="179" t="s">
        <v>495</v>
      </c>
      <c r="F6" s="179">
        <v>21125015452.19735</v>
      </c>
      <c r="G6" s="179">
        <v>21616228139.03751</v>
      </c>
      <c r="H6" s="179">
        <v>23506279899.96653</v>
      </c>
      <c r="I6" s="179">
        <v>28048360188.278782</v>
      </c>
      <c r="J6" s="179">
        <v>25920665259.890041</v>
      </c>
      <c r="K6" s="179">
        <v>29472103269.741936</v>
      </c>
      <c r="L6" s="179">
        <v>32014368121.371735</v>
      </c>
      <c r="M6" s="179">
        <v>33269509510.4599</v>
      </c>
      <c r="N6" s="179">
        <v>36327785494.927711</v>
      </c>
      <c r="O6" s="179">
        <v>41638967621.000717</v>
      </c>
      <c r="P6" s="179">
        <v>44629891648.970383</v>
      </c>
      <c r="Q6" s="179">
        <v>49173371528.940857</v>
      </c>
      <c r="R6" s="179">
        <v>53123459911.650459</v>
      </c>
      <c r="S6" s="179">
        <v>69482723443.653809</v>
      </c>
      <c r="T6" s="179">
        <v>85380645042.24379</v>
      </c>
      <c r="U6" s="179">
        <v>90835426418.475723</v>
      </c>
      <c r="V6" s="179">
        <v>90212747243.322067</v>
      </c>
      <c r="W6" s="179">
        <v>102240575582.94492</v>
      </c>
      <c r="X6" s="179">
        <v>116084638702.25113</v>
      </c>
      <c r="Y6" s="179">
        <v>134256827127.36172</v>
      </c>
      <c r="Z6" s="179">
        <v>171217790780.75711</v>
      </c>
      <c r="AA6" s="179">
        <v>175859256874.35895</v>
      </c>
      <c r="AB6" s="179">
        <v>168095657215.22992</v>
      </c>
      <c r="AC6" s="179">
        <v>175564912386.05344</v>
      </c>
      <c r="AD6" s="179">
        <v>160646748724.36038</v>
      </c>
      <c r="AE6" s="179">
        <v>136759437909.94936</v>
      </c>
      <c r="AF6" s="179">
        <v>153050335915.69315</v>
      </c>
      <c r="AG6" s="179">
        <v>186658478814.25958</v>
      </c>
      <c r="AH6" s="179">
        <v>204765985926.27774</v>
      </c>
      <c r="AI6" s="179">
        <v>218241607366.27008</v>
      </c>
      <c r="AJ6" s="179">
        <v>254062093241.87143</v>
      </c>
      <c r="AK6" s="179">
        <v>276856728335.50085</v>
      </c>
      <c r="AL6" s="179">
        <v>246088124935.71817</v>
      </c>
      <c r="AM6" s="179">
        <v>242926405780.18802</v>
      </c>
      <c r="AN6" s="179">
        <v>239610677916.94904</v>
      </c>
      <c r="AO6" s="179">
        <v>270327154574.64395</v>
      </c>
      <c r="AP6" s="179">
        <v>269490833464.81631</v>
      </c>
      <c r="AQ6" s="179">
        <v>283446224788.41309</v>
      </c>
      <c r="AR6" s="179">
        <v>266652333830.50742</v>
      </c>
      <c r="AS6" s="179">
        <v>263024788889.78769</v>
      </c>
      <c r="AT6" s="179">
        <v>284759318602.86572</v>
      </c>
      <c r="AU6" s="179">
        <v>259643121973.10178</v>
      </c>
      <c r="AV6" s="179">
        <v>266529432166.37723</v>
      </c>
      <c r="AW6" s="179">
        <v>354176768091.4068</v>
      </c>
      <c r="AX6" s="179">
        <v>440481795990.95001</v>
      </c>
      <c r="AY6" s="179">
        <v>513941625353.72992</v>
      </c>
      <c r="AZ6" s="179">
        <v>577586931666.75159</v>
      </c>
      <c r="BA6" s="179">
        <v>662868036074.34888</v>
      </c>
      <c r="BB6" s="179">
        <v>710536227816.53748</v>
      </c>
      <c r="BC6" s="179">
        <v>721901168421.27954</v>
      </c>
      <c r="BD6" s="179">
        <v>863519541417.77429</v>
      </c>
      <c r="BE6" s="179">
        <v>967824566958.79102</v>
      </c>
      <c r="BF6" s="179">
        <v>975354777362.36792</v>
      </c>
      <c r="BG6" s="179">
        <v>985987130726.70142</v>
      </c>
      <c r="BH6" s="179">
        <v>1006526390112.8292</v>
      </c>
      <c r="BI6" s="179">
        <v>927348469903.11536</v>
      </c>
      <c r="BJ6" s="179">
        <v>885176429223.50879</v>
      </c>
      <c r="BK6" s="179">
        <v>1021043200767.0063</v>
      </c>
      <c r="BL6" s="179">
        <v>1007196197587.4084</v>
      </c>
      <c r="BM6" s="179">
        <v>1000834077088.5531</v>
      </c>
      <c r="BN6" s="179">
        <v>927593321647.66418</v>
      </c>
      <c r="BO6" s="179">
        <v>1081998139192.4668</v>
      </c>
      <c r="BP6" s="179">
        <v>1169483734191.4592</v>
      </c>
    </row>
    <row r="7" spans="1:68">
      <c r="A7" s="221" t="s">
        <v>500</v>
      </c>
      <c r="B7" s="179">
        <f t="shared" si="0"/>
        <v>0</v>
      </c>
      <c r="C7" s="179" t="s">
        <v>501</v>
      </c>
      <c r="D7" s="179" t="s">
        <v>494</v>
      </c>
      <c r="E7" s="179" t="s">
        <v>495</v>
      </c>
      <c r="F7" s="179">
        <v>10447637852.918215</v>
      </c>
      <c r="G7" s="179">
        <v>11173212080.394047</v>
      </c>
      <c r="H7" s="179">
        <v>11990534017.872967</v>
      </c>
      <c r="I7" s="179">
        <v>12727688165.450535</v>
      </c>
      <c r="J7" s="179">
        <v>13898109284.017984</v>
      </c>
      <c r="K7" s="179">
        <v>14929792387.515064</v>
      </c>
      <c r="L7" s="179">
        <v>15910837741.967787</v>
      </c>
      <c r="M7" s="179">
        <v>14510579888.720743</v>
      </c>
      <c r="N7" s="179">
        <v>14968235781.964382</v>
      </c>
      <c r="O7" s="179">
        <v>16979315745.391426</v>
      </c>
      <c r="P7" s="179">
        <v>23596163865.318218</v>
      </c>
      <c r="Q7" s="179">
        <v>20936358634.327389</v>
      </c>
      <c r="R7" s="179">
        <v>25386169423.278336</v>
      </c>
      <c r="S7" s="179">
        <v>31975594564.711926</v>
      </c>
      <c r="T7" s="179">
        <v>44416677334.56736</v>
      </c>
      <c r="U7" s="179">
        <v>51667190241.549553</v>
      </c>
      <c r="V7" s="179">
        <v>62351622299.609756</v>
      </c>
      <c r="W7" s="179">
        <v>65595122955.594925</v>
      </c>
      <c r="X7" s="179">
        <v>71496496574.327881</v>
      </c>
      <c r="Y7" s="179">
        <v>88948338390.393585</v>
      </c>
      <c r="Z7" s="179">
        <v>112439126385.11089</v>
      </c>
      <c r="AA7" s="179">
        <v>211338060014.60516</v>
      </c>
      <c r="AB7" s="179">
        <v>187448724919.92706</v>
      </c>
      <c r="AC7" s="179">
        <v>138384182006.54758</v>
      </c>
      <c r="AD7" s="179">
        <v>114516348920.80019</v>
      </c>
      <c r="AE7" s="179">
        <v>116776995132.66508</v>
      </c>
      <c r="AF7" s="179">
        <v>107886511308.91838</v>
      </c>
      <c r="AG7" s="179">
        <v>110728825941.6006</v>
      </c>
      <c r="AH7" s="179">
        <v>109438851253.75372</v>
      </c>
      <c r="AI7" s="179">
        <v>102254998562.58362</v>
      </c>
      <c r="AJ7" s="179">
        <v>122387353859.46112</v>
      </c>
      <c r="AK7" s="179">
        <v>118039698015.64056</v>
      </c>
      <c r="AL7" s="179">
        <v>118893094121.78972</v>
      </c>
      <c r="AM7" s="179">
        <v>99272180411.250305</v>
      </c>
      <c r="AN7" s="179">
        <v>86636400265.836258</v>
      </c>
      <c r="AO7" s="179">
        <v>108690885030.35641</v>
      </c>
      <c r="AP7" s="179">
        <v>126287285162.71156</v>
      </c>
      <c r="AQ7" s="179">
        <v>127602388366.01927</v>
      </c>
      <c r="AR7" s="179">
        <v>130678128885.1747</v>
      </c>
      <c r="AS7" s="179">
        <v>138085971819.80637</v>
      </c>
      <c r="AT7" s="179">
        <v>140945759313.81061</v>
      </c>
      <c r="AU7" s="179">
        <v>148529518712.34277</v>
      </c>
      <c r="AV7" s="179">
        <v>177201164643.36008</v>
      </c>
      <c r="AW7" s="179">
        <v>205214466071.12418</v>
      </c>
      <c r="AX7" s="179">
        <v>254264799898.50882</v>
      </c>
      <c r="AY7" s="179">
        <v>310889578636.22815</v>
      </c>
      <c r="AZ7" s="179">
        <v>396921040009.47174</v>
      </c>
      <c r="BA7" s="179">
        <v>465485534968.5351</v>
      </c>
      <c r="BB7" s="179">
        <v>567791156729.12854</v>
      </c>
      <c r="BC7" s="179">
        <v>508362731366.62604</v>
      </c>
      <c r="BD7" s="179">
        <v>598521555565.83936</v>
      </c>
      <c r="BE7" s="179">
        <v>682015858791.68091</v>
      </c>
      <c r="BF7" s="179">
        <v>737589473577.07178</v>
      </c>
      <c r="BG7" s="179">
        <v>833948054767.43799</v>
      </c>
      <c r="BH7" s="179">
        <v>894322482190.28101</v>
      </c>
      <c r="BI7" s="179">
        <v>768644740597.11646</v>
      </c>
      <c r="BJ7" s="179">
        <v>691363412188.45972</v>
      </c>
      <c r="BK7" s="179">
        <v>684898755570.71692</v>
      </c>
      <c r="BL7" s="179">
        <v>767025741475.03784</v>
      </c>
      <c r="BM7" s="179">
        <v>822538393591.4469</v>
      </c>
      <c r="BN7" s="179">
        <v>786460035395.02649</v>
      </c>
      <c r="BO7" s="179">
        <v>844459722152.99097</v>
      </c>
      <c r="BP7" s="179">
        <v>877863284874.06763</v>
      </c>
    </row>
    <row r="8" spans="1:68">
      <c r="A8" s="179" t="s">
        <v>504</v>
      </c>
      <c r="B8" s="179">
        <f t="shared" si="0"/>
        <v>1</v>
      </c>
      <c r="C8" s="179" t="s">
        <v>505</v>
      </c>
      <c r="D8" s="179" t="s">
        <v>494</v>
      </c>
      <c r="E8" s="179" t="s">
        <v>495</v>
      </c>
      <c r="AD8" s="179">
        <v>1857338011.8548822</v>
      </c>
      <c r="AE8" s="179">
        <v>1897050133.4201543</v>
      </c>
      <c r="AF8" s="179">
        <v>2097326250</v>
      </c>
      <c r="AG8" s="179">
        <v>2080796249.9999998</v>
      </c>
      <c r="AH8" s="179">
        <v>2051236250</v>
      </c>
      <c r="AI8" s="179">
        <v>2253090000</v>
      </c>
      <c r="AJ8" s="179">
        <v>2028553750</v>
      </c>
      <c r="AK8" s="179">
        <v>1099559027.7777777</v>
      </c>
      <c r="AL8" s="179">
        <v>652174990.83730388</v>
      </c>
      <c r="AM8" s="179">
        <v>1185315468.4629517</v>
      </c>
      <c r="AN8" s="179">
        <v>1880950857.7870157</v>
      </c>
      <c r="AO8" s="179">
        <v>2392764853.4210739</v>
      </c>
      <c r="AP8" s="179">
        <v>3199640825.6225839</v>
      </c>
      <c r="AQ8" s="179">
        <v>2258513974.0967965</v>
      </c>
      <c r="AR8" s="179">
        <v>2545964540.883832</v>
      </c>
      <c r="AS8" s="179">
        <v>3212121650.9775524</v>
      </c>
      <c r="AT8" s="179">
        <v>3480355258.0412197</v>
      </c>
      <c r="AU8" s="179">
        <v>3922100793.5403037</v>
      </c>
      <c r="AV8" s="179">
        <v>4348068242.1951227</v>
      </c>
      <c r="AW8" s="179">
        <v>5611496257.142313</v>
      </c>
      <c r="AX8" s="179">
        <v>7184685781.5187607</v>
      </c>
      <c r="AY8" s="179">
        <v>8052077209.3736982</v>
      </c>
      <c r="AZ8" s="179">
        <v>8896074996.3587589</v>
      </c>
      <c r="BA8" s="179">
        <v>10677324872.828642</v>
      </c>
      <c r="BB8" s="179">
        <v>12881352878.250063</v>
      </c>
      <c r="BC8" s="179">
        <v>12044205572.434246</v>
      </c>
      <c r="BD8" s="179">
        <v>11926926654.052109</v>
      </c>
      <c r="BE8" s="179">
        <v>12890760272.558374</v>
      </c>
      <c r="BF8" s="179">
        <v>12319834233.290417</v>
      </c>
      <c r="BG8" s="179">
        <v>12776224537.274315</v>
      </c>
      <c r="BH8" s="179">
        <v>13228147516.116798</v>
      </c>
      <c r="BI8" s="179">
        <v>11386853143.151987</v>
      </c>
      <c r="BJ8" s="179">
        <v>11861199830.83956</v>
      </c>
      <c r="BK8" s="179">
        <v>13019726211.736889</v>
      </c>
      <c r="BL8" s="179">
        <v>15156424061.981478</v>
      </c>
      <c r="BM8" s="179">
        <v>15401826080.518326</v>
      </c>
      <c r="BN8" s="179">
        <v>15162734205.246202</v>
      </c>
      <c r="BO8" s="179">
        <v>17930565118.817619</v>
      </c>
      <c r="BP8" s="179">
        <v>18882095517.876831</v>
      </c>
    </row>
    <row r="9" spans="1:68">
      <c r="A9" s="179" t="s">
        <v>603</v>
      </c>
      <c r="B9" s="179">
        <f t="shared" si="0"/>
        <v>1</v>
      </c>
      <c r="C9" s="179" t="s">
        <v>604</v>
      </c>
      <c r="D9" s="179" t="s">
        <v>494</v>
      </c>
      <c r="E9" s="179" t="s">
        <v>495</v>
      </c>
      <c r="F9" s="179">
        <v>2723615449.1290288</v>
      </c>
      <c r="G9" s="179">
        <v>2434747053.9985852</v>
      </c>
      <c r="H9" s="179">
        <v>2001444542.3227978</v>
      </c>
      <c r="I9" s="179">
        <v>2702982015.4825335</v>
      </c>
      <c r="J9" s="179">
        <v>2909316432.9673624</v>
      </c>
      <c r="K9" s="179">
        <v>3136284304.3536558</v>
      </c>
      <c r="L9" s="179">
        <v>3039859185.0275044</v>
      </c>
      <c r="M9" s="179">
        <v>3370870373.6087222</v>
      </c>
      <c r="N9" s="179">
        <v>3852147023.7011228</v>
      </c>
      <c r="O9" s="179">
        <v>4257253260.6933961</v>
      </c>
      <c r="P9" s="179">
        <v>4863526892.695653</v>
      </c>
      <c r="Q9" s="179">
        <v>5077182745.7478952</v>
      </c>
      <c r="R9" s="179">
        <v>6766744027.5519714</v>
      </c>
      <c r="S9" s="179">
        <v>8707858006.1938744</v>
      </c>
      <c r="T9" s="179">
        <v>13209871629.064133</v>
      </c>
      <c r="U9" s="179">
        <v>15557901444.872448</v>
      </c>
      <c r="V9" s="179">
        <v>17728240936.573521</v>
      </c>
      <c r="W9" s="179">
        <v>20972112004.189342</v>
      </c>
      <c r="X9" s="179">
        <v>26364491320.094933</v>
      </c>
      <c r="Y9" s="179">
        <v>33243709744.089931</v>
      </c>
      <c r="Z9" s="179">
        <v>42345829090.241135</v>
      </c>
      <c r="AA9" s="179">
        <v>44348587045.921959</v>
      </c>
      <c r="AB9" s="179">
        <v>45207170761.645844</v>
      </c>
      <c r="AC9" s="179">
        <v>48801369810.55825</v>
      </c>
      <c r="AD9" s="179">
        <v>53698548297.564308</v>
      </c>
      <c r="AE9" s="179">
        <v>57937868670.193726</v>
      </c>
      <c r="AF9" s="179">
        <v>63692012412.321541</v>
      </c>
      <c r="AG9" s="179">
        <v>66745822963.078743</v>
      </c>
      <c r="AH9" s="179">
        <v>59089400190.483673</v>
      </c>
      <c r="AI9" s="179">
        <v>55634719135.359657</v>
      </c>
      <c r="AJ9" s="179">
        <v>62048505222.341431</v>
      </c>
      <c r="AK9" s="179">
        <v>45715676428.276596</v>
      </c>
      <c r="AL9" s="179">
        <v>48003133346.995735</v>
      </c>
      <c r="AM9" s="179">
        <v>49945585165.789856</v>
      </c>
      <c r="AN9" s="179">
        <v>42543177031.172295</v>
      </c>
      <c r="AO9" s="179">
        <v>41764291963.85321</v>
      </c>
      <c r="AP9" s="179">
        <v>46941553939.55928</v>
      </c>
      <c r="AQ9" s="179">
        <v>48177612042.15065</v>
      </c>
      <c r="AR9" s="179">
        <v>48187781711.030823</v>
      </c>
      <c r="AS9" s="179">
        <v>48640671734.971115</v>
      </c>
      <c r="AT9" s="179">
        <v>54790398813.000496</v>
      </c>
      <c r="AU9" s="179">
        <v>54744698044.233109</v>
      </c>
      <c r="AV9" s="179">
        <v>56760355865.00824</v>
      </c>
      <c r="AW9" s="179">
        <v>67863850333.95256</v>
      </c>
      <c r="AX9" s="179">
        <v>85332581188.610703</v>
      </c>
      <c r="AY9" s="179">
        <v>103198211973.24242</v>
      </c>
      <c r="AZ9" s="179">
        <v>117027280692.35611</v>
      </c>
      <c r="BA9" s="179">
        <v>134977082623.7798</v>
      </c>
      <c r="BB9" s="179">
        <v>171000699876.74734</v>
      </c>
      <c r="BC9" s="179">
        <v>137211004291.27434</v>
      </c>
      <c r="BD9" s="179">
        <v>161207306304.79449</v>
      </c>
      <c r="BE9" s="179">
        <v>200013097903.1702</v>
      </c>
      <c r="BF9" s="179">
        <v>209059081828.26114</v>
      </c>
      <c r="BG9" s="179">
        <v>209755003250.664</v>
      </c>
      <c r="BH9" s="179">
        <v>213809980720.78723</v>
      </c>
      <c r="BI9" s="179">
        <v>165979224316.66702</v>
      </c>
      <c r="BJ9" s="179">
        <v>160034212613.4375</v>
      </c>
      <c r="BK9" s="179">
        <v>170096989042.83139</v>
      </c>
      <c r="BL9" s="179">
        <v>174910891124.49118</v>
      </c>
      <c r="BM9" s="179">
        <v>171760290068.15723</v>
      </c>
      <c r="BN9" s="179">
        <v>145743722826.25845</v>
      </c>
      <c r="BO9" s="179">
        <v>163472233245.77017</v>
      </c>
      <c r="BP9" s="179">
        <v>191912889420.91083</v>
      </c>
    </row>
    <row r="10" spans="1:68">
      <c r="A10" s="179" t="s">
        <v>516</v>
      </c>
      <c r="B10" s="179">
        <f t="shared" si="0"/>
        <v>0</v>
      </c>
      <c r="C10" s="179" t="s">
        <v>517</v>
      </c>
      <c r="D10" s="179" t="s">
        <v>494</v>
      </c>
      <c r="E10" s="179" t="s">
        <v>495</v>
      </c>
      <c r="AV10" s="179">
        <v>512000000</v>
      </c>
      <c r="AW10" s="179">
        <v>524000000</v>
      </c>
      <c r="AX10" s="179">
        <v>509000000</v>
      </c>
      <c r="AY10" s="179">
        <v>500000000</v>
      </c>
      <c r="AZ10" s="179">
        <v>493000000</v>
      </c>
      <c r="BA10" s="179">
        <v>518000000</v>
      </c>
      <c r="BB10" s="179">
        <v>560000000</v>
      </c>
      <c r="BC10" s="179">
        <v>675000000</v>
      </c>
      <c r="BD10" s="179">
        <v>573000000</v>
      </c>
      <c r="BE10" s="179">
        <v>570000000</v>
      </c>
      <c r="BF10" s="179">
        <v>640000000</v>
      </c>
      <c r="BG10" s="179">
        <v>638000000</v>
      </c>
      <c r="BH10" s="179">
        <v>643000000</v>
      </c>
      <c r="BI10" s="179">
        <v>673000000</v>
      </c>
      <c r="BJ10" s="179">
        <v>671000000</v>
      </c>
      <c r="BK10" s="179">
        <v>612000000</v>
      </c>
      <c r="BL10" s="179">
        <v>639000000</v>
      </c>
      <c r="BM10" s="179">
        <v>647000000</v>
      </c>
      <c r="BN10" s="179">
        <v>716000000</v>
      </c>
      <c r="BO10" s="179">
        <v>709000000</v>
      </c>
    </row>
    <row r="11" spans="1:68">
      <c r="A11" s="179" t="s">
        <v>506</v>
      </c>
      <c r="B11" s="179">
        <f t="shared" si="0"/>
        <v>0</v>
      </c>
      <c r="C11" s="179" t="s">
        <v>507</v>
      </c>
      <c r="D11" s="179" t="s">
        <v>494</v>
      </c>
      <c r="E11" s="179" t="s">
        <v>495</v>
      </c>
      <c r="P11" s="179">
        <v>78617622.615668103</v>
      </c>
      <c r="Q11" s="179">
        <v>89406587.660322234</v>
      </c>
      <c r="R11" s="179">
        <v>113414399.17980734</v>
      </c>
      <c r="S11" s="179">
        <v>150841573.45038989</v>
      </c>
      <c r="T11" s="179">
        <v>186557164.00867745</v>
      </c>
      <c r="U11" s="179">
        <v>220112879.7596131</v>
      </c>
      <c r="V11" s="179">
        <v>227284061.4721466</v>
      </c>
      <c r="W11" s="179">
        <v>253998001.24316144</v>
      </c>
      <c r="X11" s="179">
        <v>308020288.90630776</v>
      </c>
      <c r="Y11" s="179">
        <v>411548365.74110174</v>
      </c>
      <c r="Z11" s="179">
        <v>446377571.45777959</v>
      </c>
      <c r="AA11" s="179">
        <v>388982990.4683888</v>
      </c>
      <c r="AB11" s="179">
        <v>375914806.52878219</v>
      </c>
      <c r="AC11" s="179">
        <v>327849981.48463422</v>
      </c>
      <c r="AD11" s="179">
        <v>330073057.02197683</v>
      </c>
      <c r="AE11" s="179">
        <v>346742876.30270958</v>
      </c>
      <c r="AF11" s="179">
        <v>481996191.30373251</v>
      </c>
      <c r="AG11" s="179">
        <v>611300147.25444412</v>
      </c>
      <c r="AH11" s="179">
        <v>721425971.76905537</v>
      </c>
      <c r="AI11" s="179">
        <v>795489464.0250268</v>
      </c>
      <c r="AJ11" s="179">
        <v>1028989393.702947</v>
      </c>
      <c r="AK11" s="179">
        <v>1106891024.786525</v>
      </c>
      <c r="AL11" s="179">
        <v>1209992649.5668821</v>
      </c>
      <c r="AM11" s="179">
        <v>1007090915.0599899</v>
      </c>
      <c r="AN11" s="179">
        <v>1017544675.4971336</v>
      </c>
      <c r="AO11" s="179">
        <v>1178745314.3263459</v>
      </c>
      <c r="AP11" s="179">
        <v>1224023415.653264</v>
      </c>
      <c r="AQ11" s="179">
        <v>1180646068.292618</v>
      </c>
      <c r="AR11" s="179">
        <v>1211953953.5634685</v>
      </c>
      <c r="AS11" s="179">
        <v>1239840269.7181356</v>
      </c>
      <c r="AT11" s="179">
        <v>1429048105.6661806</v>
      </c>
      <c r="AU11" s="179">
        <v>1546912331.8806992</v>
      </c>
      <c r="AV11" s="179">
        <v>1755989899.2959092</v>
      </c>
      <c r="AW11" s="179">
        <v>2361635782.0601883</v>
      </c>
      <c r="AX11" s="179">
        <v>2895047587.1188841</v>
      </c>
      <c r="AY11" s="179">
        <v>3159826891.5087304</v>
      </c>
      <c r="AZ11" s="179">
        <v>3456265061.7206497</v>
      </c>
      <c r="BA11" s="179">
        <v>3952397734.8548355</v>
      </c>
      <c r="BB11" s="179">
        <v>4085781938.5165153</v>
      </c>
      <c r="BC11" s="179">
        <v>3674188228.9502535</v>
      </c>
      <c r="BD11" s="179">
        <v>3449925738.8334222</v>
      </c>
      <c r="BE11" s="179">
        <v>3629133574.5136509</v>
      </c>
      <c r="BF11" s="179">
        <v>3188652765.2929692</v>
      </c>
      <c r="BG11" s="179">
        <v>3193512950.0157208</v>
      </c>
      <c r="BH11" s="179">
        <v>3271685596.5215049</v>
      </c>
      <c r="BI11" s="179">
        <v>2789881258.6054673</v>
      </c>
      <c r="BJ11" s="179">
        <v>2896610479.8677917</v>
      </c>
      <c r="BK11" s="179">
        <v>3000162081.2235618</v>
      </c>
      <c r="BL11" s="179">
        <v>3218419896.9332738</v>
      </c>
      <c r="BM11" s="179">
        <v>3155149347.9215069</v>
      </c>
      <c r="BN11" s="179">
        <v>2891001149.4007368</v>
      </c>
      <c r="BO11" s="179">
        <v>3325145406.7710938</v>
      </c>
      <c r="BP11" s="179">
        <v>3352032737.0390978</v>
      </c>
    </row>
    <row r="12" spans="1:68">
      <c r="A12" s="179" t="s">
        <v>502</v>
      </c>
      <c r="B12" s="179">
        <f t="shared" si="0"/>
        <v>1</v>
      </c>
      <c r="C12" s="179" t="s">
        <v>503</v>
      </c>
      <c r="D12" s="179" t="s">
        <v>494</v>
      </c>
      <c r="E12" s="179" t="s">
        <v>495</v>
      </c>
      <c r="Z12" s="179">
        <v>5930503400.9626312</v>
      </c>
      <c r="AA12" s="179">
        <v>5550483035.9649715</v>
      </c>
      <c r="AB12" s="179">
        <v>5550483035.9649715</v>
      </c>
      <c r="AC12" s="179">
        <v>5784341596.3633938</v>
      </c>
      <c r="AD12" s="179">
        <v>6131475065.1781549</v>
      </c>
      <c r="AE12" s="179">
        <v>7554065410.1209974</v>
      </c>
      <c r="AF12" s="179">
        <v>7072536108.6971054</v>
      </c>
      <c r="AG12" s="179">
        <v>8084412414.2656603</v>
      </c>
      <c r="AH12" s="179">
        <v>8769836768.834816</v>
      </c>
      <c r="AI12" s="179">
        <v>10201780976.669563</v>
      </c>
      <c r="AJ12" s="179">
        <v>11229515599.304768</v>
      </c>
      <c r="AK12" s="179">
        <v>12704558516.591557</v>
      </c>
      <c r="AL12" s="179">
        <v>15114352005.303261</v>
      </c>
      <c r="AM12" s="179">
        <v>11051939101.56004</v>
      </c>
      <c r="AN12" s="179">
        <v>3390500000</v>
      </c>
      <c r="AO12" s="179">
        <v>5561222222.2222223</v>
      </c>
      <c r="AP12" s="179">
        <v>7526963963.9639635</v>
      </c>
      <c r="AQ12" s="179">
        <v>7648377412.8327723</v>
      </c>
      <c r="AR12" s="179">
        <v>6506229607.2943239</v>
      </c>
      <c r="AS12" s="179">
        <v>6152922942.9803152</v>
      </c>
      <c r="AT12" s="179">
        <v>9129594818.6074924</v>
      </c>
      <c r="AU12" s="179">
        <v>8936079252.7713146</v>
      </c>
      <c r="AV12" s="179">
        <v>15285592487.423664</v>
      </c>
      <c r="AW12" s="179">
        <v>17812704626.232372</v>
      </c>
      <c r="AX12" s="179">
        <v>23552057820.459892</v>
      </c>
      <c r="AY12" s="179">
        <v>36970901025.203217</v>
      </c>
      <c r="AZ12" s="179">
        <v>52381025105.217659</v>
      </c>
      <c r="BA12" s="179">
        <v>65266415706.974136</v>
      </c>
      <c r="BB12" s="179">
        <v>88538664888.198288</v>
      </c>
      <c r="BC12" s="179">
        <v>70307196477.081451</v>
      </c>
      <c r="BD12" s="179">
        <v>81699526880.807907</v>
      </c>
      <c r="BE12" s="179">
        <v>109436566876.41864</v>
      </c>
      <c r="BF12" s="179">
        <v>124998210652.24281</v>
      </c>
      <c r="BG12" s="179">
        <v>133401582620.49359</v>
      </c>
      <c r="BH12" s="179">
        <v>137244439121.37398</v>
      </c>
      <c r="BI12" s="179">
        <v>87219300384.507172</v>
      </c>
      <c r="BJ12" s="179">
        <v>49840491178.151764</v>
      </c>
      <c r="BK12" s="179">
        <v>68972769395.627365</v>
      </c>
      <c r="BL12" s="179">
        <v>77792944471.949432</v>
      </c>
      <c r="BM12" s="179">
        <v>69309110145.768738</v>
      </c>
      <c r="BN12" s="179">
        <v>50241368243.631424</v>
      </c>
      <c r="BO12" s="179">
        <v>65685435100.498566</v>
      </c>
      <c r="BP12" s="179">
        <v>106713618735.43364</v>
      </c>
    </row>
    <row r="13" spans="1:68">
      <c r="A13" s="179" t="s">
        <v>518</v>
      </c>
      <c r="B13" s="179">
        <f t="shared" si="0"/>
        <v>0</v>
      </c>
      <c r="C13" s="179" t="s">
        <v>519</v>
      </c>
      <c r="D13" s="179" t="s">
        <v>494</v>
      </c>
      <c r="E13" s="179" t="s">
        <v>495</v>
      </c>
      <c r="W13" s="179">
        <v>77496753.703703701</v>
      </c>
      <c r="X13" s="179">
        <v>87879341.481481478</v>
      </c>
      <c r="Y13" s="179">
        <v>109079978.88888888</v>
      </c>
      <c r="Z13" s="179">
        <v>131431026.66666666</v>
      </c>
      <c r="AA13" s="179">
        <v>147841734.44444445</v>
      </c>
      <c r="AB13" s="179">
        <v>164369278.88888887</v>
      </c>
      <c r="AC13" s="179">
        <v>182144092.96296296</v>
      </c>
      <c r="AD13" s="179">
        <v>208372846.29629627</v>
      </c>
      <c r="AE13" s="179">
        <v>240923924.81481481</v>
      </c>
      <c r="AF13" s="179">
        <v>290440140.74074072</v>
      </c>
      <c r="AG13" s="179">
        <v>337174861.85185182</v>
      </c>
      <c r="AH13" s="179">
        <v>398637727.77777773</v>
      </c>
      <c r="AI13" s="179">
        <v>438794788.51851851</v>
      </c>
      <c r="AJ13" s="179">
        <v>459470370.37037033</v>
      </c>
      <c r="AK13" s="179">
        <v>481707407.4074074</v>
      </c>
      <c r="AL13" s="179">
        <v>499281481.48148143</v>
      </c>
      <c r="AM13" s="179">
        <v>535174074.07407403</v>
      </c>
      <c r="AN13" s="179">
        <v>589429629.62962961</v>
      </c>
      <c r="AO13" s="179">
        <v>577281481.48148143</v>
      </c>
      <c r="AP13" s="179">
        <v>633729629.62962961</v>
      </c>
      <c r="AQ13" s="179">
        <v>680618518.51851845</v>
      </c>
      <c r="AR13" s="179">
        <v>727859259.25925922</v>
      </c>
      <c r="AS13" s="179">
        <v>766199999.99999988</v>
      </c>
      <c r="AT13" s="179">
        <v>826370370.37037027</v>
      </c>
      <c r="AU13" s="179">
        <v>800481481.48148143</v>
      </c>
      <c r="AV13" s="179">
        <v>814381481.48148143</v>
      </c>
      <c r="AW13" s="179">
        <v>856396296.29629624</v>
      </c>
      <c r="AX13" s="179">
        <v>919729629.62962961</v>
      </c>
      <c r="AY13" s="179">
        <v>1022962962.9629629</v>
      </c>
      <c r="AZ13" s="179">
        <v>1157662962.9629629</v>
      </c>
      <c r="BA13" s="179">
        <v>1312759259.2592592</v>
      </c>
      <c r="BB13" s="179">
        <v>1370070370.3703704</v>
      </c>
      <c r="BC13" s="179">
        <v>1228329629.6296296</v>
      </c>
      <c r="BD13" s="179">
        <v>1148700000</v>
      </c>
      <c r="BE13" s="179">
        <v>1137637037.0370369</v>
      </c>
      <c r="BF13" s="179">
        <v>1199948148.1481481</v>
      </c>
      <c r="BG13" s="179">
        <v>1181448148.1481481</v>
      </c>
      <c r="BH13" s="179">
        <v>1249733333.3333333</v>
      </c>
      <c r="BI13" s="179">
        <v>1336692592.5925925</v>
      </c>
      <c r="BJ13" s="179">
        <v>1436585185.1851852</v>
      </c>
      <c r="BK13" s="179">
        <v>1467955555.5555553</v>
      </c>
      <c r="BL13" s="179">
        <v>1604770370.3703701</v>
      </c>
      <c r="BM13" s="179">
        <v>1675403703.7037036</v>
      </c>
      <c r="BN13" s="179">
        <v>1416348148.1481481</v>
      </c>
      <c r="BO13" s="179">
        <v>1560518518.5185182</v>
      </c>
      <c r="BP13" s="179">
        <v>1757603703.7037036</v>
      </c>
    </row>
    <row r="14" spans="1:68">
      <c r="A14" s="179" t="s">
        <v>508</v>
      </c>
      <c r="B14" s="179">
        <f t="shared" si="0"/>
        <v>0</v>
      </c>
      <c r="C14" s="179" t="s">
        <v>509</v>
      </c>
      <c r="D14" s="179" t="s">
        <v>494</v>
      </c>
      <c r="E14" s="179" t="s">
        <v>495</v>
      </c>
      <c r="N14" s="179">
        <v>34715404210.853088</v>
      </c>
      <c r="O14" s="179">
        <v>37827652252.000725</v>
      </c>
      <c r="P14" s="179">
        <v>42768536550.70327</v>
      </c>
      <c r="Q14" s="179">
        <v>49428519673.456619</v>
      </c>
      <c r="R14" s="179">
        <v>58935857748.533867</v>
      </c>
      <c r="S14" s="179">
        <v>74780454402.087753</v>
      </c>
      <c r="T14" s="179">
        <v>142137633612.97946</v>
      </c>
      <c r="U14" s="179">
        <v>157069227730.64456</v>
      </c>
      <c r="V14" s="179">
        <v>195513756716.26746</v>
      </c>
      <c r="W14" s="179">
        <v>225676459936.29739</v>
      </c>
      <c r="X14" s="179">
        <v>249608263403.04593</v>
      </c>
      <c r="Y14" s="179">
        <v>337961752414.97894</v>
      </c>
      <c r="Z14" s="179">
        <v>459804598569.46167</v>
      </c>
      <c r="AA14" s="179">
        <v>474812142540.0946</v>
      </c>
      <c r="AB14" s="179">
        <v>444575870914.34326</v>
      </c>
      <c r="AC14" s="179">
        <v>418462069813.7644</v>
      </c>
      <c r="AD14" s="179">
        <v>425899415741.84332</v>
      </c>
      <c r="AE14" s="179">
        <v>419485435098.3197</v>
      </c>
      <c r="AF14" s="179">
        <v>406982702169.50348</v>
      </c>
      <c r="AG14" s="179">
        <v>440607629311.64838</v>
      </c>
      <c r="AH14" s="179">
        <v>424896194402.89569</v>
      </c>
      <c r="AI14" s="179">
        <v>455822667744.98175</v>
      </c>
      <c r="AJ14" s="179">
        <v>644062569659.78418</v>
      </c>
      <c r="AK14" s="179">
        <v>471800078473.10748</v>
      </c>
      <c r="AL14" s="179">
        <v>473811268023.86023</v>
      </c>
      <c r="AM14" s="179">
        <v>482764256146.68427</v>
      </c>
      <c r="AN14" s="179">
        <v>507764942792.86334</v>
      </c>
      <c r="AO14" s="179">
        <v>556046395850.06714</v>
      </c>
      <c r="AP14" s="179">
        <v>614186085021.47473</v>
      </c>
      <c r="AQ14" s="179">
        <v>662308062161.0752</v>
      </c>
      <c r="AR14" s="179">
        <v>649192024190.97656</v>
      </c>
      <c r="AS14" s="179">
        <v>717469440493.50305</v>
      </c>
      <c r="AT14" s="179">
        <v>820185610129.23914</v>
      </c>
      <c r="AU14" s="179">
        <v>802881110720.1626</v>
      </c>
      <c r="AV14" s="179">
        <v>807961558719.84741</v>
      </c>
      <c r="AW14" s="179">
        <v>893818030124.46008</v>
      </c>
      <c r="AX14" s="179">
        <v>1062736962989.3877</v>
      </c>
      <c r="AY14" s="179">
        <v>1304401465632.9443</v>
      </c>
      <c r="AZ14" s="179">
        <v>1545539138979.4146</v>
      </c>
      <c r="BA14" s="179">
        <v>1797932187931.8276</v>
      </c>
      <c r="BB14" s="179">
        <v>2263028942886.3193</v>
      </c>
      <c r="BC14" s="179">
        <v>1987053424430.1726</v>
      </c>
      <c r="BD14" s="179">
        <v>2334637959849.4805</v>
      </c>
      <c r="BE14" s="179">
        <v>2555979378991.6528</v>
      </c>
      <c r="BF14" s="179">
        <v>2801697577805.5903</v>
      </c>
      <c r="BG14" s="179">
        <v>2859669252729.5762</v>
      </c>
      <c r="BH14" s="179">
        <v>2905732745187.0054</v>
      </c>
      <c r="BI14" s="179">
        <v>2554156134622.5908</v>
      </c>
      <c r="BJ14" s="179">
        <v>2537536661584.8066</v>
      </c>
      <c r="BK14" s="179">
        <v>2637111521998.1289</v>
      </c>
      <c r="BL14" s="179">
        <v>2843476105063.8022</v>
      </c>
      <c r="BM14" s="179">
        <v>2868890920845.1177</v>
      </c>
      <c r="BN14" s="179">
        <v>2533377484136.8716</v>
      </c>
      <c r="BO14" s="179">
        <v>2928455523439.8765</v>
      </c>
      <c r="BP14" s="179">
        <v>3557557256270.5903</v>
      </c>
    </row>
    <row r="15" spans="1:68">
      <c r="A15" s="179" t="s">
        <v>512</v>
      </c>
      <c r="B15" s="179">
        <f t="shared" si="0"/>
        <v>0</v>
      </c>
      <c r="C15" s="179" t="s">
        <v>513</v>
      </c>
      <c r="D15" s="179" t="s">
        <v>494</v>
      </c>
      <c r="E15" s="179" t="s">
        <v>495</v>
      </c>
      <c r="H15" s="179">
        <v>24450604877.608116</v>
      </c>
      <c r="I15" s="179">
        <v>18272123664.471519</v>
      </c>
      <c r="J15" s="179">
        <v>25605249381.759708</v>
      </c>
      <c r="K15" s="179">
        <v>28344705966.638908</v>
      </c>
      <c r="L15" s="179">
        <v>28630474727.90226</v>
      </c>
      <c r="M15" s="179">
        <v>24256667553.25692</v>
      </c>
      <c r="N15" s="179">
        <v>26436857247.498184</v>
      </c>
      <c r="O15" s="179">
        <v>31256284543.615479</v>
      </c>
      <c r="P15" s="179">
        <v>31584210365.544651</v>
      </c>
      <c r="Q15" s="179">
        <v>33293199095.488117</v>
      </c>
      <c r="R15" s="179">
        <v>34733000536.286209</v>
      </c>
      <c r="S15" s="179">
        <v>52544000116.903732</v>
      </c>
      <c r="T15" s="179">
        <v>72436777342.455414</v>
      </c>
      <c r="U15" s="179">
        <v>52438647921.9226</v>
      </c>
      <c r="V15" s="179">
        <v>51169499892.172218</v>
      </c>
      <c r="W15" s="179">
        <v>56781000101.084831</v>
      </c>
      <c r="X15" s="179">
        <v>89049453088.328171</v>
      </c>
      <c r="Y15" s="179">
        <v>69252328951.644104</v>
      </c>
      <c r="Z15" s="179">
        <v>76961923741.070099</v>
      </c>
      <c r="AA15" s="179">
        <v>78676842366.552902</v>
      </c>
      <c r="AB15" s="179">
        <v>84307486836.724014</v>
      </c>
      <c r="AC15" s="179">
        <v>103979106777.91101</v>
      </c>
      <c r="AD15" s="179">
        <v>116915052107.03087</v>
      </c>
      <c r="AE15" s="179">
        <v>88150891728.10643</v>
      </c>
      <c r="AF15" s="179">
        <v>105872372613.85706</v>
      </c>
      <c r="AG15" s="179">
        <v>108810885301.25256</v>
      </c>
      <c r="AH15" s="179">
        <v>126890235049.09248</v>
      </c>
      <c r="AI15" s="179">
        <v>76629728760.122955</v>
      </c>
      <c r="AJ15" s="179">
        <v>141352630146.73056</v>
      </c>
      <c r="AK15" s="179">
        <v>189719984268.48453</v>
      </c>
      <c r="AL15" s="179">
        <v>228778994288.21381</v>
      </c>
      <c r="AM15" s="179">
        <v>236741715015.01501</v>
      </c>
      <c r="AN15" s="179">
        <v>257440000000</v>
      </c>
      <c r="AO15" s="179">
        <v>258031750000</v>
      </c>
      <c r="AP15" s="179">
        <v>272149750000</v>
      </c>
      <c r="AQ15" s="179">
        <v>292859000000</v>
      </c>
      <c r="AR15" s="179">
        <v>298948250000</v>
      </c>
      <c r="AS15" s="179">
        <v>283523000000</v>
      </c>
      <c r="AT15" s="179">
        <v>284203750000</v>
      </c>
      <c r="AU15" s="179">
        <v>268696750000</v>
      </c>
      <c r="AV15" s="179">
        <v>97724004251.860199</v>
      </c>
      <c r="AW15" s="179">
        <v>127586973492.17664</v>
      </c>
      <c r="AX15" s="179">
        <v>164657930452.78662</v>
      </c>
      <c r="AY15" s="179">
        <v>198737095012.28165</v>
      </c>
      <c r="AZ15" s="179">
        <v>232557260817.30771</v>
      </c>
      <c r="BA15" s="179">
        <v>287530508430.56799</v>
      </c>
      <c r="BB15" s="179">
        <v>361558037110.41925</v>
      </c>
      <c r="BC15" s="179">
        <v>332976484577.6189</v>
      </c>
      <c r="BD15" s="179">
        <v>423627422092.48969</v>
      </c>
      <c r="BE15" s="179">
        <v>530158176673.78851</v>
      </c>
      <c r="BF15" s="179">
        <v>545982375701.12799</v>
      </c>
      <c r="BG15" s="179">
        <v>552025140252.24634</v>
      </c>
      <c r="BH15" s="179">
        <v>526319673731.63831</v>
      </c>
      <c r="BI15" s="179">
        <v>594749285413.2124</v>
      </c>
      <c r="BJ15" s="179">
        <v>557532317363.45117</v>
      </c>
      <c r="BK15" s="179">
        <v>643628396190.38806</v>
      </c>
      <c r="BL15" s="179">
        <v>524819898586.90643</v>
      </c>
      <c r="BM15" s="179">
        <v>447754686715.08081</v>
      </c>
      <c r="BN15" s="179">
        <v>385540406815.59869</v>
      </c>
      <c r="BO15" s="179">
        <v>487227125385.6405</v>
      </c>
      <c r="BP15" s="179">
        <v>632770284408.51038</v>
      </c>
    </row>
    <row r="16" spans="1:68">
      <c r="A16" s="179" t="s">
        <v>514</v>
      </c>
      <c r="B16" s="179">
        <f t="shared" si="0"/>
        <v>1</v>
      </c>
      <c r="C16" s="179" t="s">
        <v>515</v>
      </c>
      <c r="D16" s="179" t="s">
        <v>494</v>
      </c>
      <c r="E16" s="179" t="s">
        <v>495</v>
      </c>
      <c r="AJ16" s="179">
        <v>2256838857.6099715</v>
      </c>
      <c r="AK16" s="179">
        <v>2069870129.8701298</v>
      </c>
      <c r="AL16" s="179">
        <v>1272835453.4263439</v>
      </c>
      <c r="AM16" s="179">
        <v>1201312829.2752385</v>
      </c>
      <c r="AN16" s="179">
        <v>1315158636.6755345</v>
      </c>
      <c r="AO16" s="179">
        <v>1468317435.2014842</v>
      </c>
      <c r="AP16" s="179">
        <v>1596968946.2370784</v>
      </c>
      <c r="AQ16" s="179">
        <v>1639492444.7615163</v>
      </c>
      <c r="AR16" s="179">
        <v>1893726437.2646184</v>
      </c>
      <c r="AS16" s="179">
        <v>1845482173.0273242</v>
      </c>
      <c r="AT16" s="179">
        <v>1911563668.8500648</v>
      </c>
      <c r="AU16" s="179">
        <v>2118467913.3787341</v>
      </c>
      <c r="AV16" s="179">
        <v>2376335048.399756</v>
      </c>
      <c r="AW16" s="179">
        <v>2807061008.6908445</v>
      </c>
      <c r="AX16" s="179">
        <v>3576615240.4161587</v>
      </c>
      <c r="AY16" s="179">
        <v>4900469515.0725203</v>
      </c>
      <c r="AZ16" s="179">
        <v>6384452070.7417126</v>
      </c>
      <c r="BA16" s="179">
        <v>9206301264.1757183</v>
      </c>
      <c r="BB16" s="179">
        <v>11662040703.891603</v>
      </c>
      <c r="BC16" s="179">
        <v>8647937090.6338921</v>
      </c>
      <c r="BD16" s="179">
        <v>9260285762.0970364</v>
      </c>
      <c r="BE16" s="179">
        <v>10142111812.366453</v>
      </c>
      <c r="BF16" s="179">
        <v>10619320692.808701</v>
      </c>
      <c r="BG16" s="179">
        <v>11121464429.702991</v>
      </c>
      <c r="BH16" s="179">
        <v>11609513241.075359</v>
      </c>
      <c r="BI16" s="179">
        <v>10553337527.774534</v>
      </c>
      <c r="BJ16" s="179">
        <v>10546136240.395241</v>
      </c>
      <c r="BK16" s="179">
        <v>11527458712.618654</v>
      </c>
      <c r="BL16" s="179">
        <v>12457940705.308796</v>
      </c>
      <c r="BM16" s="179">
        <v>13619290545.813139</v>
      </c>
      <c r="BN16" s="179">
        <v>12641698593.790771</v>
      </c>
      <c r="BO16" s="179">
        <v>13861409968.834984</v>
      </c>
      <c r="BP16" s="179">
        <v>19502783987.880733</v>
      </c>
    </row>
    <row r="17" spans="1:68">
      <c r="A17" s="179" t="s">
        <v>492</v>
      </c>
      <c r="B17" s="179">
        <f t="shared" si="0"/>
        <v>0</v>
      </c>
      <c r="C17" s="179" t="s">
        <v>493</v>
      </c>
      <c r="D17" s="179" t="s">
        <v>494</v>
      </c>
      <c r="E17" s="179" t="s">
        <v>495</v>
      </c>
      <c r="AF17" s="179">
        <v>405586592.17877096</v>
      </c>
      <c r="AG17" s="179">
        <v>487709497.2067039</v>
      </c>
      <c r="AH17" s="179">
        <v>596648044.69273746</v>
      </c>
      <c r="AI17" s="179">
        <v>695530726.25698328</v>
      </c>
      <c r="AJ17" s="179">
        <v>764804469.27374303</v>
      </c>
      <c r="AK17" s="179">
        <v>872067039.10614526</v>
      </c>
      <c r="AL17" s="179">
        <v>958659217.87709498</v>
      </c>
      <c r="AM17" s="179">
        <v>1083240223.4636872</v>
      </c>
      <c r="AN17" s="179">
        <v>1245810055.8659217</v>
      </c>
      <c r="AO17" s="179">
        <v>1320670391.0614524</v>
      </c>
      <c r="AP17" s="179">
        <v>1379888268.1564245</v>
      </c>
      <c r="AQ17" s="179">
        <v>1531843575.4189944</v>
      </c>
      <c r="AR17" s="179">
        <v>1665363128.4916201</v>
      </c>
      <c r="AS17" s="179">
        <v>1722905027.9329607</v>
      </c>
      <c r="AT17" s="179">
        <v>1873184357.5418994</v>
      </c>
      <c r="AU17" s="179">
        <v>1896648044.6927373</v>
      </c>
      <c r="AV17" s="179">
        <v>1962011173.1843574</v>
      </c>
      <c r="AW17" s="179">
        <v>2044134078.2122905</v>
      </c>
      <c r="AX17" s="179">
        <v>2254748603.3519554</v>
      </c>
      <c r="AY17" s="179">
        <v>2359776536.312849</v>
      </c>
      <c r="AZ17" s="179">
        <v>2469832402.2346368</v>
      </c>
      <c r="BA17" s="179">
        <v>2677653631.2849159</v>
      </c>
      <c r="BB17" s="179">
        <v>2843016759.7765365</v>
      </c>
      <c r="BC17" s="179">
        <v>2553631284.9162011</v>
      </c>
      <c r="BD17" s="179">
        <v>2453631284.9162011</v>
      </c>
      <c r="BE17" s="179">
        <v>2637988826.8156424</v>
      </c>
      <c r="BF17" s="179">
        <v>2615083798.8826814</v>
      </c>
      <c r="BG17" s="179">
        <v>2727932960.8938546</v>
      </c>
      <c r="BH17" s="179">
        <v>2791061452.5139666</v>
      </c>
      <c r="BI17" s="179">
        <v>2963128491.6201115</v>
      </c>
      <c r="BJ17" s="179">
        <v>2983798882.6815643</v>
      </c>
      <c r="BK17" s="179">
        <v>3092178770.9497204</v>
      </c>
      <c r="BL17" s="179">
        <v>3276187709.4972067</v>
      </c>
      <c r="BM17" s="179">
        <v>3395793854.7486033</v>
      </c>
      <c r="BN17" s="179">
        <v>2610038938.5474858</v>
      </c>
      <c r="BO17" s="179">
        <v>3126019385.4748602</v>
      </c>
    </row>
    <row r="18" spans="1:68">
      <c r="A18" s="179" t="s">
        <v>84</v>
      </c>
      <c r="B18" s="179">
        <f t="shared" si="0"/>
        <v>0</v>
      </c>
      <c r="C18" s="179" t="s">
        <v>520</v>
      </c>
      <c r="D18" s="179" t="s">
        <v>494</v>
      </c>
      <c r="E18" s="179" t="s">
        <v>495</v>
      </c>
      <c r="F18" s="179">
        <v>18606562979.282867</v>
      </c>
      <c r="G18" s="179">
        <v>19682883151.623253</v>
      </c>
      <c r="H18" s="179">
        <v>19922563190.00082</v>
      </c>
      <c r="I18" s="179">
        <v>21539843448.959736</v>
      </c>
      <c r="J18" s="179">
        <v>23801123811.035946</v>
      </c>
      <c r="K18" s="179">
        <v>25976164159.30341</v>
      </c>
      <c r="L18" s="179">
        <v>27307844372.532043</v>
      </c>
      <c r="M18" s="179">
        <v>30442724874.489109</v>
      </c>
      <c r="N18" s="179">
        <v>32714085238.179333</v>
      </c>
      <c r="O18" s="179">
        <v>36683365873.740547</v>
      </c>
      <c r="P18" s="179">
        <v>41333606618.337097</v>
      </c>
      <c r="Q18" s="179">
        <v>45216647240.089561</v>
      </c>
      <c r="R18" s="179">
        <v>52042056074.766357</v>
      </c>
      <c r="S18" s="179">
        <v>63832158872.517616</v>
      </c>
      <c r="T18" s="179">
        <v>88963890935.887985</v>
      </c>
      <c r="U18" s="179">
        <v>97304383449.405991</v>
      </c>
      <c r="V18" s="179">
        <v>105060650224.27051</v>
      </c>
      <c r="W18" s="179">
        <v>110350997935.30626</v>
      </c>
      <c r="X18" s="179">
        <v>118491577918.81233</v>
      </c>
      <c r="Y18" s="179">
        <v>134898330114.73361</v>
      </c>
      <c r="Z18" s="179">
        <v>149984401114.20615</v>
      </c>
      <c r="AA18" s="179">
        <v>176891907581.56277</v>
      </c>
      <c r="AB18" s="179">
        <v>194037294494.09689</v>
      </c>
      <c r="AC18" s="179">
        <v>177263464407.83322</v>
      </c>
      <c r="AD18" s="179">
        <v>193517245510.16028</v>
      </c>
      <c r="AE18" s="179">
        <v>180634851530.18085</v>
      </c>
      <c r="AF18" s="179">
        <v>182472020145.49524</v>
      </c>
      <c r="AG18" s="179">
        <v>189487824245.6326</v>
      </c>
      <c r="AH18" s="179">
        <v>236152526238.56384</v>
      </c>
      <c r="AI18" s="179">
        <v>299875825286.85797</v>
      </c>
      <c r="AJ18" s="179">
        <v>311430632641.08655</v>
      </c>
      <c r="AK18" s="179">
        <v>325981640935.41711</v>
      </c>
      <c r="AL18" s="179">
        <v>325532426233.22736</v>
      </c>
      <c r="AM18" s="179">
        <v>312138139404.15961</v>
      </c>
      <c r="AN18" s="179">
        <v>322809408509.16638</v>
      </c>
      <c r="AO18" s="179">
        <v>368140778140.77814</v>
      </c>
      <c r="AP18" s="179">
        <v>401310823652.7428</v>
      </c>
      <c r="AQ18" s="179">
        <v>435613768959.97046</v>
      </c>
      <c r="AR18" s="179">
        <v>399660855999.4574</v>
      </c>
      <c r="AS18" s="179">
        <v>389389647825.54199</v>
      </c>
      <c r="AT18" s="179">
        <v>415844972940.49646</v>
      </c>
      <c r="AU18" s="179">
        <v>379357823192.52985</v>
      </c>
      <c r="AV18" s="179">
        <v>395573025330.4469</v>
      </c>
      <c r="AW18" s="179">
        <v>467497961560.86194</v>
      </c>
      <c r="AX18" s="179">
        <v>614326362213.68616</v>
      </c>
      <c r="AY18" s="179">
        <v>695305000206.72888</v>
      </c>
      <c r="AZ18" s="179">
        <v>747907432136.59802</v>
      </c>
      <c r="BA18" s="179">
        <v>854427259166.20862</v>
      </c>
      <c r="BB18" s="179">
        <v>1055686110665.5344</v>
      </c>
      <c r="BC18" s="179">
        <v>928629769751.88354</v>
      </c>
      <c r="BD18" s="179">
        <v>1148569537284.6228</v>
      </c>
      <c r="BE18" s="179">
        <v>1398456161407.8506</v>
      </c>
      <c r="BF18" s="179">
        <v>1546952690139.9939</v>
      </c>
      <c r="BG18" s="179">
        <v>1576329690003.9307</v>
      </c>
      <c r="BH18" s="179">
        <v>1467589901175.4551</v>
      </c>
      <c r="BI18" s="179">
        <v>1350580336316.7546</v>
      </c>
      <c r="BJ18" s="179">
        <v>1206562910556.5779</v>
      </c>
      <c r="BK18" s="179">
        <v>1326467487376.4219</v>
      </c>
      <c r="BL18" s="179">
        <v>1428266513154.4751</v>
      </c>
      <c r="BM18" s="179">
        <v>1392218527563.2642</v>
      </c>
      <c r="BN18" s="179">
        <v>1326944627876.8682</v>
      </c>
      <c r="BO18" s="179">
        <v>1552703151616.0059</v>
      </c>
      <c r="BP18" s="179">
        <v>1675418665067.0903</v>
      </c>
    </row>
    <row r="19" spans="1:68">
      <c r="A19" s="179" t="s">
        <v>521</v>
      </c>
      <c r="B19" s="179">
        <f t="shared" si="0"/>
        <v>1</v>
      </c>
      <c r="C19" s="179" t="s">
        <v>522</v>
      </c>
      <c r="D19" s="179" t="s">
        <v>494</v>
      </c>
      <c r="E19" s="179" t="s">
        <v>495</v>
      </c>
      <c r="F19" s="179">
        <v>6592693841.1849499</v>
      </c>
      <c r="G19" s="179">
        <v>7311749633.3622875</v>
      </c>
      <c r="H19" s="179">
        <v>7756110210.1196642</v>
      </c>
      <c r="I19" s="179">
        <v>8374175257.7307529</v>
      </c>
      <c r="J19" s="179">
        <v>9169983885.7118511</v>
      </c>
      <c r="K19" s="179">
        <v>9994070615.8599701</v>
      </c>
      <c r="L19" s="179">
        <v>10887682273.101418</v>
      </c>
      <c r="M19" s="179">
        <v>11579431668.916473</v>
      </c>
      <c r="N19" s="179">
        <v>12440625312.868534</v>
      </c>
      <c r="O19" s="179">
        <v>13582798556.240419</v>
      </c>
      <c r="P19" s="179">
        <v>15373005557.025669</v>
      </c>
      <c r="Q19" s="179">
        <v>17858486066.747437</v>
      </c>
      <c r="R19" s="179">
        <v>22059612476.933151</v>
      </c>
      <c r="S19" s="179">
        <v>29515467706.795979</v>
      </c>
      <c r="T19" s="179">
        <v>35189299911.660774</v>
      </c>
      <c r="U19" s="179">
        <v>40059206763.056015</v>
      </c>
      <c r="V19" s="179">
        <v>42959976221.523354</v>
      </c>
      <c r="W19" s="179">
        <v>51545758887.686287</v>
      </c>
      <c r="X19" s="179">
        <v>62052259073.249321</v>
      </c>
      <c r="Y19" s="179">
        <v>73937296963.458572</v>
      </c>
      <c r="Z19" s="179">
        <v>82058912997.234634</v>
      </c>
      <c r="AA19" s="179">
        <v>71034228443.062042</v>
      </c>
      <c r="AB19" s="179">
        <v>71275287569.573288</v>
      </c>
      <c r="AC19" s="179">
        <v>72121016546.652374</v>
      </c>
      <c r="AD19" s="179">
        <v>67985344886.871605</v>
      </c>
      <c r="AE19" s="179">
        <v>69386774408.08725</v>
      </c>
      <c r="AF19" s="179">
        <v>99036164939.161789</v>
      </c>
      <c r="AG19" s="179">
        <v>124168442533.73967</v>
      </c>
      <c r="AH19" s="179">
        <v>133339397080.12927</v>
      </c>
      <c r="AI19" s="179">
        <v>133105805512.22049</v>
      </c>
      <c r="AJ19" s="179">
        <v>166463386179.35373</v>
      </c>
      <c r="AK19" s="179">
        <v>173794177961.10782</v>
      </c>
      <c r="AL19" s="179">
        <v>195078126721.76309</v>
      </c>
      <c r="AM19" s="179">
        <v>190379720809.18018</v>
      </c>
      <c r="AN19" s="179">
        <v>203535242741.83835</v>
      </c>
      <c r="AO19" s="179">
        <v>241038283062.64502</v>
      </c>
      <c r="AP19" s="179">
        <v>237250948791.26593</v>
      </c>
      <c r="AQ19" s="179">
        <v>212790348404.55518</v>
      </c>
      <c r="AR19" s="179">
        <v>218259904401.95642</v>
      </c>
      <c r="AS19" s="179">
        <v>217259147049.95413</v>
      </c>
      <c r="AT19" s="179">
        <v>197289625479.90631</v>
      </c>
      <c r="AU19" s="179">
        <v>197508773215.32309</v>
      </c>
      <c r="AV19" s="179">
        <v>214394866675.23959</v>
      </c>
      <c r="AW19" s="179">
        <v>262273631180.05435</v>
      </c>
      <c r="AX19" s="179">
        <v>301457562038.54132</v>
      </c>
      <c r="AY19" s="179">
        <v>316092273276.01544</v>
      </c>
      <c r="AZ19" s="179">
        <v>336280064332.41132</v>
      </c>
      <c r="BA19" s="179">
        <v>389185571506.05225</v>
      </c>
      <c r="BB19" s="179">
        <v>432051935642.94519</v>
      </c>
      <c r="BC19" s="179">
        <v>401758735822.21069</v>
      </c>
      <c r="BD19" s="179">
        <v>392275107258.67676</v>
      </c>
      <c r="BE19" s="179">
        <v>431685217367.51361</v>
      </c>
      <c r="BF19" s="179">
        <v>409401816050.53131</v>
      </c>
      <c r="BG19" s="179">
        <v>430190979705.96545</v>
      </c>
      <c r="BH19" s="179">
        <v>442584815286.02667</v>
      </c>
      <c r="BI19" s="179">
        <v>381971148530.54279</v>
      </c>
      <c r="BJ19" s="179">
        <v>395837353031.50995</v>
      </c>
      <c r="BK19" s="179">
        <v>417261151844.98096</v>
      </c>
      <c r="BL19" s="179">
        <v>454991174096.09351</v>
      </c>
      <c r="BM19" s="179">
        <v>444621176100.54034</v>
      </c>
      <c r="BN19" s="179">
        <v>435225238000.42957</v>
      </c>
      <c r="BO19" s="179">
        <v>480368403893.36438</v>
      </c>
      <c r="BP19" s="179">
        <v>471400066091.24695</v>
      </c>
    </row>
    <row r="20" spans="1:68">
      <c r="A20" s="179" t="s">
        <v>523</v>
      </c>
      <c r="B20" s="179">
        <f t="shared" si="0"/>
        <v>1</v>
      </c>
      <c r="C20" s="179" t="s">
        <v>524</v>
      </c>
      <c r="D20" s="179" t="s">
        <v>494</v>
      </c>
      <c r="E20" s="179" t="s">
        <v>495</v>
      </c>
      <c r="AJ20" s="179">
        <v>8858006042.2960739</v>
      </c>
      <c r="AK20" s="179">
        <v>5344000000</v>
      </c>
      <c r="AL20" s="179">
        <v>444658671.58671582</v>
      </c>
      <c r="AM20" s="179">
        <v>1570392598.1495376</v>
      </c>
      <c r="AN20" s="179">
        <v>1193141110.3504274</v>
      </c>
      <c r="AO20" s="179">
        <v>2417332562.2218437</v>
      </c>
      <c r="AP20" s="179">
        <v>3176507991.7396388</v>
      </c>
      <c r="AQ20" s="179">
        <v>3962362387.4792209</v>
      </c>
      <c r="AR20" s="179">
        <v>4446370371.1502304</v>
      </c>
      <c r="AS20" s="179">
        <v>4581246713.3206606</v>
      </c>
      <c r="AT20" s="179">
        <v>5272617196.0451736</v>
      </c>
      <c r="AU20" s="179">
        <v>5707618246.5684757</v>
      </c>
      <c r="AV20" s="179">
        <v>6236086669.1753855</v>
      </c>
      <c r="AW20" s="179">
        <v>7276413079.1145105</v>
      </c>
      <c r="AX20" s="179">
        <v>8680410157.5716991</v>
      </c>
      <c r="AY20" s="179">
        <v>13245421880.834042</v>
      </c>
      <c r="AZ20" s="179">
        <v>20981929497.618767</v>
      </c>
      <c r="BA20" s="179">
        <v>33049426816.444801</v>
      </c>
      <c r="BB20" s="179">
        <v>48851318825.715195</v>
      </c>
      <c r="BC20" s="179">
        <v>44292408816.638</v>
      </c>
      <c r="BD20" s="179">
        <v>52909294791.926239</v>
      </c>
      <c r="BE20" s="179">
        <v>65952763948.839035</v>
      </c>
      <c r="BF20" s="179">
        <v>69679913509.909134</v>
      </c>
      <c r="BG20" s="179">
        <v>74160553008.731094</v>
      </c>
      <c r="BH20" s="179">
        <v>75239737488.804398</v>
      </c>
      <c r="BI20" s="179">
        <v>53076244754.503662</v>
      </c>
      <c r="BJ20" s="179">
        <v>37867007022.784386</v>
      </c>
      <c r="BK20" s="179">
        <v>40866632047.841438</v>
      </c>
      <c r="BL20" s="179">
        <v>47112479289.41864</v>
      </c>
      <c r="BM20" s="179">
        <v>48174235294.117645</v>
      </c>
      <c r="BN20" s="179">
        <v>42693000000</v>
      </c>
      <c r="BO20" s="179">
        <v>54825411764.705887</v>
      </c>
      <c r="BP20" s="179">
        <v>78721058823.529404</v>
      </c>
    </row>
    <row r="21" spans="1:68">
      <c r="A21" s="179" t="s">
        <v>539</v>
      </c>
      <c r="B21" s="179">
        <f t="shared" si="0"/>
        <v>0</v>
      </c>
      <c r="C21" s="179" t="s">
        <v>540</v>
      </c>
      <c r="D21" s="179" t="s">
        <v>494</v>
      </c>
      <c r="E21" s="179" t="s">
        <v>495</v>
      </c>
      <c r="F21" s="179">
        <v>169803921.56862745</v>
      </c>
      <c r="G21" s="179">
        <v>190098039.21568626</v>
      </c>
      <c r="H21" s="179">
        <v>212254901.96078432</v>
      </c>
      <c r="I21" s="179">
        <v>237745098.03921568</v>
      </c>
      <c r="J21" s="179">
        <v>266666666.66666666</v>
      </c>
      <c r="K21" s="179">
        <v>300392156.86274511</v>
      </c>
      <c r="L21" s="179">
        <v>340000000</v>
      </c>
      <c r="M21" s="179">
        <v>390196078.43137252</v>
      </c>
      <c r="N21" s="179">
        <v>444901960.78431374</v>
      </c>
      <c r="O21" s="179">
        <v>528137254.90196079</v>
      </c>
      <c r="P21" s="179">
        <v>538423153.69261479</v>
      </c>
      <c r="Q21" s="179">
        <v>573400000</v>
      </c>
      <c r="R21" s="179">
        <v>590900000</v>
      </c>
      <c r="S21" s="179">
        <v>670900000</v>
      </c>
      <c r="T21" s="179">
        <v>632400000</v>
      </c>
      <c r="U21" s="179">
        <v>596200000</v>
      </c>
      <c r="V21" s="179">
        <v>642100000</v>
      </c>
      <c r="W21" s="179">
        <v>713000000</v>
      </c>
      <c r="X21" s="179">
        <v>832400000</v>
      </c>
      <c r="Y21" s="179">
        <v>1139800100</v>
      </c>
      <c r="Z21" s="179">
        <v>1335300000</v>
      </c>
      <c r="AA21" s="179">
        <v>1426500000</v>
      </c>
      <c r="AB21" s="179">
        <v>1578300000</v>
      </c>
      <c r="AC21" s="179">
        <v>1732800000</v>
      </c>
      <c r="AD21" s="179">
        <v>2041100000</v>
      </c>
      <c r="AE21" s="179">
        <v>2320699900</v>
      </c>
      <c r="AF21" s="179">
        <v>2472500000</v>
      </c>
      <c r="AG21" s="179">
        <v>2713999900</v>
      </c>
      <c r="AH21" s="179">
        <v>2817900000</v>
      </c>
      <c r="AI21" s="179">
        <v>3062000000</v>
      </c>
      <c r="AJ21" s="179">
        <v>3166000000</v>
      </c>
      <c r="AK21" s="179">
        <v>3111160000</v>
      </c>
      <c r="AL21" s="179">
        <v>3109000000</v>
      </c>
      <c r="AM21" s="179">
        <v>3092000000</v>
      </c>
      <c r="AN21" s="179">
        <v>3259000000</v>
      </c>
      <c r="AO21" s="179">
        <v>3429000000</v>
      </c>
      <c r="AP21" s="179">
        <v>3609000000</v>
      </c>
      <c r="AQ21" s="179">
        <v>6332360000</v>
      </c>
      <c r="AR21" s="179">
        <v>6833220000</v>
      </c>
      <c r="AS21" s="179">
        <v>7683870000</v>
      </c>
      <c r="AT21" s="179">
        <v>8076470000</v>
      </c>
      <c r="AU21" s="179">
        <v>8317830000</v>
      </c>
      <c r="AV21" s="179">
        <v>8881160000</v>
      </c>
      <c r="AW21" s="179">
        <v>8870090000</v>
      </c>
      <c r="AX21" s="179">
        <v>9055290000</v>
      </c>
      <c r="AY21" s="179">
        <v>9836200000</v>
      </c>
      <c r="AZ21" s="179">
        <v>10167250000</v>
      </c>
      <c r="BA21" s="179">
        <v>10618340000</v>
      </c>
      <c r="BB21" s="179">
        <v>10526000000</v>
      </c>
      <c r="BC21" s="179">
        <v>9981960000</v>
      </c>
      <c r="BD21" s="179">
        <v>10095760000</v>
      </c>
      <c r="BE21" s="179">
        <v>10070450000</v>
      </c>
      <c r="BF21" s="179">
        <v>10720500000</v>
      </c>
      <c r="BG21" s="179">
        <v>10562800000</v>
      </c>
      <c r="BH21" s="179">
        <v>11176100000</v>
      </c>
      <c r="BI21" s="179">
        <v>11672900000</v>
      </c>
      <c r="BJ21" s="179">
        <v>11750800000</v>
      </c>
      <c r="BK21" s="179">
        <v>12253500000</v>
      </c>
      <c r="BL21" s="179">
        <v>12653600000</v>
      </c>
      <c r="BM21" s="179">
        <v>13058700000</v>
      </c>
      <c r="BN21" s="179">
        <v>9754600000</v>
      </c>
      <c r="BO21" s="179">
        <v>11527600000</v>
      </c>
      <c r="BP21" s="179">
        <v>12897400000</v>
      </c>
    </row>
    <row r="22" spans="1:68">
      <c r="A22" s="179" t="s">
        <v>537</v>
      </c>
      <c r="B22" s="179">
        <f t="shared" si="0"/>
        <v>1</v>
      </c>
      <c r="C22" s="179" t="s">
        <v>538</v>
      </c>
      <c r="D22" s="179" t="s">
        <v>494</v>
      </c>
      <c r="E22" s="179" t="s">
        <v>495</v>
      </c>
      <c r="Z22" s="179">
        <v>3072698328.46909</v>
      </c>
      <c r="AA22" s="179">
        <v>3467819158.1590939</v>
      </c>
      <c r="AB22" s="179">
        <v>3645744690.5471935</v>
      </c>
      <c r="AC22" s="179">
        <v>3735106392.9125171</v>
      </c>
      <c r="AD22" s="179">
        <v>3905585110.7109795</v>
      </c>
      <c r="AE22" s="179">
        <v>3651861702.1276598</v>
      </c>
      <c r="AF22" s="179">
        <v>3052393617.0212765</v>
      </c>
      <c r="AG22" s="179">
        <v>3392021010.638298</v>
      </c>
      <c r="AH22" s="179">
        <v>3702393617.0212765</v>
      </c>
      <c r="AI22" s="179">
        <v>3863563829.7872338</v>
      </c>
      <c r="AJ22" s="179">
        <v>4229787234.0425529</v>
      </c>
      <c r="AK22" s="179">
        <v>4616223404.2553196</v>
      </c>
      <c r="AL22" s="179">
        <v>4751063829.7872343</v>
      </c>
      <c r="AM22" s="179">
        <v>5200266107.2771664</v>
      </c>
      <c r="AN22" s="179">
        <v>5567553975.7031622</v>
      </c>
      <c r="AO22" s="179">
        <v>5849468272.8975887</v>
      </c>
      <c r="AP22" s="179">
        <v>6101861963.5917921</v>
      </c>
      <c r="AQ22" s="179">
        <v>6349202984.6332569</v>
      </c>
      <c r="AR22" s="179">
        <v>6183777212.4777803</v>
      </c>
      <c r="AS22" s="179">
        <v>6621010739.1960678</v>
      </c>
      <c r="AT22" s="179">
        <v>9062898936.1702118</v>
      </c>
      <c r="AU22" s="179">
        <v>8976196808.5106392</v>
      </c>
      <c r="AV22" s="179">
        <v>9593510638.2978725</v>
      </c>
      <c r="AW22" s="179">
        <v>11074813829.787233</v>
      </c>
      <c r="AX22" s="179">
        <v>13150159574.468084</v>
      </c>
      <c r="AY22" s="179">
        <v>15968723404.25532</v>
      </c>
      <c r="AZ22" s="179">
        <v>18504760638.297871</v>
      </c>
      <c r="BA22" s="179">
        <v>21730000000</v>
      </c>
      <c r="BB22" s="179">
        <v>25710904255.319149</v>
      </c>
      <c r="BC22" s="179">
        <v>22938218085.106384</v>
      </c>
      <c r="BD22" s="179">
        <v>25713271276.595745</v>
      </c>
      <c r="BE22" s="179">
        <v>28776595744.680851</v>
      </c>
      <c r="BF22" s="179">
        <v>30749308510.638298</v>
      </c>
      <c r="BG22" s="179">
        <v>32539468085.106384</v>
      </c>
      <c r="BH22" s="179">
        <v>33387712765.957447</v>
      </c>
      <c r="BI22" s="179">
        <v>31050638297.872341</v>
      </c>
      <c r="BJ22" s="179">
        <v>32234973404.255318</v>
      </c>
      <c r="BK22" s="179">
        <v>35473776595.744682</v>
      </c>
      <c r="BL22" s="179">
        <v>37802005319.148933</v>
      </c>
      <c r="BM22" s="179">
        <v>38653318085.106384</v>
      </c>
      <c r="BN22" s="179">
        <v>34621807712.765961</v>
      </c>
      <c r="BO22" s="179">
        <v>39303403989.361702</v>
      </c>
      <c r="BP22" s="179">
        <v>44390820478.723396</v>
      </c>
    </row>
    <row r="23" spans="1:68">
      <c r="A23" s="179" t="s">
        <v>533</v>
      </c>
      <c r="B23" s="179">
        <f t="shared" si="0"/>
        <v>0</v>
      </c>
      <c r="C23" s="179" t="s">
        <v>534</v>
      </c>
      <c r="D23" s="179" t="s">
        <v>494</v>
      </c>
      <c r="E23" s="179" t="s">
        <v>495</v>
      </c>
      <c r="F23" s="179">
        <v>4274893913.4953609</v>
      </c>
      <c r="G23" s="179">
        <v>4817580183.6015539</v>
      </c>
      <c r="H23" s="179">
        <v>5081413339.7863493</v>
      </c>
      <c r="I23" s="179">
        <v>5319458351.1623526</v>
      </c>
      <c r="J23" s="179">
        <v>5386054619.3498726</v>
      </c>
      <c r="K23" s="179">
        <v>5906636557.0009193</v>
      </c>
      <c r="L23" s="179">
        <v>6439687598.323245</v>
      </c>
      <c r="M23" s="179">
        <v>7253575399.3214951</v>
      </c>
      <c r="N23" s="179">
        <v>7483685473.5127468</v>
      </c>
      <c r="O23" s="179">
        <v>8471006100.9539871</v>
      </c>
      <c r="P23" s="179">
        <v>8992721809.3933239</v>
      </c>
      <c r="Q23" s="179">
        <v>8751842839.7965775</v>
      </c>
      <c r="R23" s="179">
        <v>6288245866.666667</v>
      </c>
      <c r="S23" s="179">
        <v>8086725729.3407021</v>
      </c>
      <c r="T23" s="179">
        <v>12512460519.708761</v>
      </c>
      <c r="U23" s="179">
        <v>19448348073.456512</v>
      </c>
      <c r="V23" s="179">
        <v>10117113333.333334</v>
      </c>
      <c r="W23" s="179">
        <v>9651149301.8745956</v>
      </c>
      <c r="X23" s="179">
        <v>13281767142.857143</v>
      </c>
      <c r="Y23" s="179">
        <v>15565480321.944809</v>
      </c>
      <c r="Z23" s="179">
        <v>18138049095.607235</v>
      </c>
      <c r="AA23" s="179">
        <v>20249694002.447979</v>
      </c>
      <c r="AB23" s="179">
        <v>18525399201.596806</v>
      </c>
      <c r="AC23" s="179">
        <v>17609048821.54882</v>
      </c>
      <c r="AD23" s="179">
        <v>18920840000</v>
      </c>
      <c r="AE23" s="179">
        <v>22278423076.923077</v>
      </c>
      <c r="AF23" s="179">
        <v>21774033333.333332</v>
      </c>
      <c r="AG23" s="179">
        <v>24298032258.064518</v>
      </c>
      <c r="AH23" s="179">
        <v>26579005760.263416</v>
      </c>
      <c r="AI23" s="179">
        <v>28781714763.890862</v>
      </c>
      <c r="AJ23" s="179">
        <v>31598341233.462959</v>
      </c>
      <c r="AK23" s="179">
        <v>30957483949.57983</v>
      </c>
      <c r="AL23" s="179">
        <v>31708874594.164455</v>
      </c>
      <c r="AM23" s="179">
        <v>33166519417.989422</v>
      </c>
      <c r="AN23" s="179">
        <v>33768660882.793015</v>
      </c>
      <c r="AO23" s="179">
        <v>37939748768.656715</v>
      </c>
      <c r="AP23" s="179">
        <v>46438484107.57946</v>
      </c>
      <c r="AQ23" s="179">
        <v>48244309133.489456</v>
      </c>
      <c r="AR23" s="179">
        <v>49984559471.365639</v>
      </c>
      <c r="AS23" s="179">
        <v>51270569883.527458</v>
      </c>
      <c r="AT23" s="179">
        <v>53369787318.624527</v>
      </c>
      <c r="AU23" s="179">
        <v>53991289844.329132</v>
      </c>
      <c r="AV23" s="179">
        <v>54724081490.510185</v>
      </c>
      <c r="AW23" s="179">
        <v>60158929188.255615</v>
      </c>
      <c r="AX23" s="179">
        <v>65108544250.042473</v>
      </c>
      <c r="AY23" s="179">
        <v>69442943089.430893</v>
      </c>
      <c r="AZ23" s="179">
        <v>71819083683.740326</v>
      </c>
      <c r="BA23" s="179">
        <v>79611888213.14798</v>
      </c>
      <c r="BB23" s="179">
        <v>91631278239.323715</v>
      </c>
      <c r="BC23" s="179">
        <v>102477779060.30183</v>
      </c>
      <c r="BD23" s="179">
        <v>115279077465.22643</v>
      </c>
      <c r="BE23" s="179">
        <v>128637983882.83327</v>
      </c>
      <c r="BF23" s="179">
        <v>133355819704.93626</v>
      </c>
      <c r="BG23" s="179">
        <v>149990529207.54416</v>
      </c>
      <c r="BH23" s="179">
        <v>172885432686.94452</v>
      </c>
      <c r="BI23" s="179">
        <v>195078574089.06674</v>
      </c>
      <c r="BJ23" s="179">
        <v>265236389198.94849</v>
      </c>
      <c r="BK23" s="179">
        <v>293754769935.14813</v>
      </c>
      <c r="BL23" s="179">
        <v>321379163135.64716</v>
      </c>
      <c r="BM23" s="179">
        <v>351238397263.80243</v>
      </c>
      <c r="BN23" s="179">
        <v>373902196399.31653</v>
      </c>
      <c r="BO23" s="179">
        <v>416264802185.16638</v>
      </c>
      <c r="BP23" s="179">
        <v>460201000095.10144</v>
      </c>
    </row>
    <row r="24" spans="1:68">
      <c r="A24" s="179" t="s">
        <v>552</v>
      </c>
      <c r="B24" s="179">
        <f t="shared" si="0"/>
        <v>0</v>
      </c>
      <c r="C24" s="179" t="s">
        <v>553</v>
      </c>
      <c r="D24" s="179" t="s">
        <v>494</v>
      </c>
      <c r="E24" s="179" t="s">
        <v>495</v>
      </c>
      <c r="T24" s="179">
        <v>311804643.27514666</v>
      </c>
      <c r="U24" s="179">
        <v>402178605.01955354</v>
      </c>
      <c r="V24" s="179">
        <v>435911268.5896796</v>
      </c>
      <c r="W24" s="179">
        <v>495097667.92904121</v>
      </c>
      <c r="X24" s="179">
        <v>552883707.05513847</v>
      </c>
      <c r="Y24" s="179">
        <v>670362452.14537871</v>
      </c>
      <c r="Z24" s="179">
        <v>1012280614.5279174</v>
      </c>
      <c r="AA24" s="179">
        <v>1114204743.2009149</v>
      </c>
      <c r="AB24" s="179">
        <v>1163923830.3584747</v>
      </c>
      <c r="AC24" s="179">
        <v>1236016506.7369363</v>
      </c>
      <c r="AD24" s="179">
        <v>1346890071.0982947</v>
      </c>
      <c r="AE24" s="179">
        <v>1409536120.91682</v>
      </c>
      <c r="AF24" s="179">
        <v>1547755183.2148364</v>
      </c>
      <c r="AG24" s="179">
        <v>1704370307.7611496</v>
      </c>
      <c r="AH24" s="179">
        <v>1812757917.7646301</v>
      </c>
      <c r="AI24" s="179">
        <v>2006165166.8075376</v>
      </c>
      <c r="AJ24" s="179">
        <v>2012131457.2664447</v>
      </c>
      <c r="AK24" s="179">
        <v>2020583702.0832298</v>
      </c>
      <c r="AL24" s="179">
        <v>1957000000</v>
      </c>
      <c r="AM24" s="179">
        <v>2063342117.0387313</v>
      </c>
      <c r="AN24" s="179">
        <v>2151344901.3076119</v>
      </c>
      <c r="AO24" s="179">
        <v>2216974096.3555913</v>
      </c>
      <c r="AP24" s="179">
        <v>2363645403.4703922</v>
      </c>
      <c r="AQ24" s="179">
        <v>2498384129.6673794</v>
      </c>
      <c r="AR24" s="179">
        <v>2817083478.3473377</v>
      </c>
      <c r="AS24" s="179">
        <v>2951822204.5443249</v>
      </c>
      <c r="AT24" s="179">
        <v>3059500000</v>
      </c>
      <c r="AU24" s="179">
        <v>3054500000</v>
      </c>
      <c r="AV24" s="179">
        <v>3106500000</v>
      </c>
      <c r="AW24" s="179">
        <v>3209500000</v>
      </c>
      <c r="AX24" s="179">
        <v>3444500000</v>
      </c>
      <c r="AY24" s="179">
        <v>3819500000</v>
      </c>
      <c r="AZ24" s="179">
        <v>4217450799.9999995</v>
      </c>
      <c r="BA24" s="179">
        <v>4674007450</v>
      </c>
      <c r="BB24" s="179">
        <v>4784925100</v>
      </c>
      <c r="BC24" s="179">
        <v>4465657300</v>
      </c>
      <c r="BD24" s="179">
        <v>4529928300</v>
      </c>
      <c r="BE24" s="179">
        <v>4657699450</v>
      </c>
      <c r="BF24" s="179">
        <v>4610096000</v>
      </c>
      <c r="BG24" s="179">
        <v>4677248300</v>
      </c>
      <c r="BH24" s="179">
        <v>4696344350</v>
      </c>
      <c r="BI24" s="179">
        <v>4724691200</v>
      </c>
      <c r="BJ24" s="179">
        <v>4832811750</v>
      </c>
      <c r="BK24" s="179">
        <v>4981588900</v>
      </c>
      <c r="BL24" s="179">
        <v>5097283200</v>
      </c>
      <c r="BM24" s="179">
        <v>5324250000</v>
      </c>
      <c r="BN24" s="179">
        <v>4671800000</v>
      </c>
      <c r="BO24" s="179">
        <v>4843800000</v>
      </c>
      <c r="BP24" s="179">
        <v>5637914514.6378994</v>
      </c>
    </row>
    <row r="25" spans="1:68">
      <c r="A25" s="179" t="s">
        <v>543</v>
      </c>
      <c r="B25" s="179">
        <f t="shared" si="0"/>
        <v>1</v>
      </c>
      <c r="C25" s="179" t="s">
        <v>544</v>
      </c>
      <c r="D25" s="179" t="s">
        <v>494</v>
      </c>
      <c r="E25" s="179" t="s">
        <v>495</v>
      </c>
      <c r="AJ25" s="179">
        <v>21650000000</v>
      </c>
      <c r="AK25" s="179">
        <v>18000000000</v>
      </c>
      <c r="AL25" s="179">
        <v>17037037037.037037</v>
      </c>
      <c r="AM25" s="179">
        <v>16280991735.537191</v>
      </c>
      <c r="AN25" s="179">
        <v>14932024169.18429</v>
      </c>
      <c r="AO25" s="179">
        <v>13972676840.917984</v>
      </c>
      <c r="AP25" s="179">
        <v>14756846153.846155</v>
      </c>
      <c r="AQ25" s="179">
        <v>14128408565.706362</v>
      </c>
      <c r="AR25" s="179">
        <v>15222012660.42317</v>
      </c>
      <c r="AS25" s="179">
        <v>12138486532.020298</v>
      </c>
      <c r="AT25" s="179">
        <v>12736856827.984661</v>
      </c>
      <c r="AU25" s="179">
        <v>12354820143.884892</v>
      </c>
      <c r="AV25" s="179">
        <v>14594928109.441133</v>
      </c>
      <c r="AW25" s="179">
        <v>17825437482.861263</v>
      </c>
      <c r="AX25" s="179">
        <v>23141593073.97382</v>
      </c>
      <c r="AY25" s="179">
        <v>30210091836.829449</v>
      </c>
      <c r="AZ25" s="179">
        <v>36961822468.201523</v>
      </c>
      <c r="BA25" s="179">
        <v>45275747157.412003</v>
      </c>
      <c r="BB25" s="179">
        <v>60752177438.889534</v>
      </c>
      <c r="BC25" s="179">
        <v>50873181571.648979</v>
      </c>
      <c r="BD25" s="179">
        <v>57231904542.875473</v>
      </c>
      <c r="BE25" s="179">
        <v>61762340943.051125</v>
      </c>
      <c r="BF25" s="179">
        <v>65685903570.452583</v>
      </c>
      <c r="BG25" s="179">
        <v>75527537703.18364</v>
      </c>
      <c r="BH25" s="179">
        <v>78812785767.748306</v>
      </c>
      <c r="BI25" s="179">
        <v>56454895054.65554</v>
      </c>
      <c r="BJ25" s="179">
        <v>47723549319.084167</v>
      </c>
      <c r="BK25" s="179">
        <v>54725311690.047821</v>
      </c>
      <c r="BL25" s="179">
        <v>60031163987.190964</v>
      </c>
      <c r="BM25" s="179">
        <v>64410112583.361977</v>
      </c>
      <c r="BN25" s="179">
        <v>61371755326.2351</v>
      </c>
      <c r="BO25" s="179">
        <v>69673747131.869965</v>
      </c>
      <c r="BP25" s="179">
        <v>72793457588.436661</v>
      </c>
    </row>
    <row r="26" spans="1:68">
      <c r="A26" s="179" t="s">
        <v>527</v>
      </c>
      <c r="B26" s="179">
        <f t="shared" si="0"/>
        <v>1</v>
      </c>
      <c r="C26" s="179" t="s">
        <v>528</v>
      </c>
      <c r="D26" s="179" t="s">
        <v>494</v>
      </c>
      <c r="E26" s="179" t="s">
        <v>495</v>
      </c>
      <c r="F26" s="179">
        <v>11658722590.990019</v>
      </c>
      <c r="G26" s="179">
        <v>12400145221.594988</v>
      </c>
      <c r="H26" s="179">
        <v>13264015675.319344</v>
      </c>
      <c r="I26" s="179">
        <v>14260017387.049244</v>
      </c>
      <c r="J26" s="179">
        <v>15960106680.673218</v>
      </c>
      <c r="K26" s="179">
        <v>17371457607.937378</v>
      </c>
      <c r="L26" s="179">
        <v>18651883472.480846</v>
      </c>
      <c r="M26" s="179">
        <v>19992040788.45929</v>
      </c>
      <c r="N26" s="179">
        <v>21376353113.474991</v>
      </c>
      <c r="O26" s="179">
        <v>23710735894.702213</v>
      </c>
      <c r="P26" s="179">
        <v>26706196046.79306</v>
      </c>
      <c r="Q26" s="179">
        <v>29821661869.912014</v>
      </c>
      <c r="R26" s="179">
        <v>37209418018.513428</v>
      </c>
      <c r="S26" s="179">
        <v>47743801490.374664</v>
      </c>
      <c r="T26" s="179">
        <v>56033077879.03894</v>
      </c>
      <c r="U26" s="179">
        <v>65678189097.290779</v>
      </c>
      <c r="V26" s="179">
        <v>71113882967.607101</v>
      </c>
      <c r="W26" s="179">
        <v>82839905458.638153</v>
      </c>
      <c r="X26" s="179">
        <v>101246526194.44089</v>
      </c>
      <c r="Y26" s="179">
        <v>116315456796.918</v>
      </c>
      <c r="Z26" s="179">
        <v>126829314388.19148</v>
      </c>
      <c r="AA26" s="179">
        <v>104730018470.23033</v>
      </c>
      <c r="AB26" s="179">
        <v>92095926187.533112</v>
      </c>
      <c r="AC26" s="179">
        <v>87184239053.25444</v>
      </c>
      <c r="AD26" s="179">
        <v>83349530159.173416</v>
      </c>
      <c r="AE26" s="179">
        <v>86268264148.379639</v>
      </c>
      <c r="AF26" s="179">
        <v>120018787249.41304</v>
      </c>
      <c r="AG26" s="179">
        <v>149394404105.8887</v>
      </c>
      <c r="AH26" s="179">
        <v>162299103675.26056</v>
      </c>
      <c r="AI26" s="179">
        <v>164221056511.05652</v>
      </c>
      <c r="AJ26" s="179">
        <v>205331747947.85129</v>
      </c>
      <c r="AK26" s="179">
        <v>210510999409.33255</v>
      </c>
      <c r="AL26" s="179">
        <v>234781652446.67502</v>
      </c>
      <c r="AM26" s="179">
        <v>224721795708.95523</v>
      </c>
      <c r="AN26" s="179">
        <v>244884129491.19846</v>
      </c>
      <c r="AO26" s="179">
        <v>288025588396.27808</v>
      </c>
      <c r="AP26" s="179">
        <v>279201433224.75574</v>
      </c>
      <c r="AQ26" s="179">
        <v>252708051420.83896</v>
      </c>
      <c r="AR26" s="179">
        <v>258528339631.02911</v>
      </c>
      <c r="AS26" s="179">
        <v>258245733221.46774</v>
      </c>
      <c r="AT26" s="179">
        <v>236792460312.4711</v>
      </c>
      <c r="AU26" s="179">
        <v>236746141604.37036</v>
      </c>
      <c r="AV26" s="179">
        <v>258383599375.17694</v>
      </c>
      <c r="AW26" s="179">
        <v>318082528506.58759</v>
      </c>
      <c r="AX26" s="179">
        <v>369214712443.20557</v>
      </c>
      <c r="AY26" s="179">
        <v>385714762230.03876</v>
      </c>
      <c r="AZ26" s="179">
        <v>408259840868.82294</v>
      </c>
      <c r="BA26" s="179">
        <v>470922156309.45251</v>
      </c>
      <c r="BB26" s="179">
        <v>517328087920.078</v>
      </c>
      <c r="BC26" s="179">
        <v>483254171097.81219</v>
      </c>
      <c r="BD26" s="179">
        <v>481420882905.01239</v>
      </c>
      <c r="BE26" s="179">
        <v>523330354138.13696</v>
      </c>
      <c r="BF26" s="179">
        <v>496152879924.72668</v>
      </c>
      <c r="BG26" s="179">
        <v>521791015247.06445</v>
      </c>
      <c r="BH26" s="179">
        <v>535390200131.00922</v>
      </c>
      <c r="BI26" s="179">
        <v>462335574841.48413</v>
      </c>
      <c r="BJ26" s="179">
        <v>476062757356.94043</v>
      </c>
      <c r="BK26" s="179">
        <v>502764720556.35834</v>
      </c>
      <c r="BL26" s="179">
        <v>543299066998.89191</v>
      </c>
      <c r="BM26" s="179">
        <v>535865692402.34247</v>
      </c>
      <c r="BN26" s="179">
        <v>525213067068.31927</v>
      </c>
      <c r="BO26" s="179">
        <v>594351961634.48657</v>
      </c>
      <c r="BP26" s="179">
        <v>578604103123.34851</v>
      </c>
    </row>
    <row r="27" spans="1:68">
      <c r="A27" s="179" t="s">
        <v>545</v>
      </c>
      <c r="B27" s="179">
        <f t="shared" si="0"/>
        <v>0</v>
      </c>
      <c r="C27" s="179" t="s">
        <v>546</v>
      </c>
      <c r="D27" s="179" t="s">
        <v>494</v>
      </c>
      <c r="E27" s="179" t="s">
        <v>495</v>
      </c>
      <c r="F27" s="179">
        <v>28072478.064056348</v>
      </c>
      <c r="G27" s="179">
        <v>29964999.956010487</v>
      </c>
      <c r="H27" s="179">
        <v>31857591.848034602</v>
      </c>
      <c r="I27" s="179">
        <v>33750113.739988737</v>
      </c>
      <c r="J27" s="179">
        <v>36194586.183727846</v>
      </c>
      <c r="K27" s="179">
        <v>40110040.098007128</v>
      </c>
      <c r="L27" s="179">
        <v>44450044.436709471</v>
      </c>
      <c r="M27" s="179">
        <v>47431266.65258234</v>
      </c>
      <c r="N27" s="179">
        <v>44999909.982179984</v>
      </c>
      <c r="O27" s="179">
        <v>47399905.181229584</v>
      </c>
      <c r="P27" s="179">
        <v>53339893.298877344</v>
      </c>
      <c r="Q27" s="179">
        <v>59074682.95038186</v>
      </c>
      <c r="R27" s="179">
        <v>65998075.725936249</v>
      </c>
      <c r="S27" s="179">
        <v>78214778.312037215</v>
      </c>
      <c r="T27" s="179">
        <v>103160463.46483822</v>
      </c>
      <c r="U27" s="179">
        <v>118194045.55938491</v>
      </c>
      <c r="V27" s="179">
        <v>97094221.485992908</v>
      </c>
      <c r="W27" s="179">
        <v>117650000</v>
      </c>
      <c r="X27" s="179">
        <v>136300000</v>
      </c>
      <c r="Y27" s="179">
        <v>151800000</v>
      </c>
      <c r="Z27" s="179">
        <v>197938222.43000001</v>
      </c>
      <c r="AA27" s="179">
        <v>196089854.655</v>
      </c>
      <c r="AB27" s="179">
        <v>182206326.98500001</v>
      </c>
      <c r="AC27" s="179">
        <v>192103185.95499998</v>
      </c>
      <c r="AD27" s="179">
        <v>214381949.02000001</v>
      </c>
      <c r="AE27" s="179">
        <v>212643742.66499999</v>
      </c>
      <c r="AF27" s="179">
        <v>231638320.535</v>
      </c>
      <c r="AG27" s="179">
        <v>281082558.58500004</v>
      </c>
      <c r="AH27" s="179">
        <v>320093360.26999998</v>
      </c>
      <c r="AI27" s="179">
        <v>369133890.70499998</v>
      </c>
      <c r="AJ27" s="179">
        <v>549500000</v>
      </c>
      <c r="AK27" s="179">
        <v>599000000</v>
      </c>
      <c r="AL27" s="179">
        <v>693500000</v>
      </c>
      <c r="AM27" s="179">
        <v>751000000</v>
      </c>
      <c r="AN27" s="179">
        <v>771500000</v>
      </c>
      <c r="AO27" s="179">
        <v>818500000</v>
      </c>
      <c r="AP27" s="179">
        <v>851500000</v>
      </c>
      <c r="AQ27" s="179">
        <v>868000000</v>
      </c>
      <c r="AR27" s="179">
        <v>914000000</v>
      </c>
      <c r="AS27" s="179">
        <v>975000000</v>
      </c>
      <c r="AT27" s="179">
        <v>1116000000</v>
      </c>
      <c r="AU27" s="179">
        <v>1163000000</v>
      </c>
      <c r="AV27" s="179">
        <v>1233000000</v>
      </c>
      <c r="AW27" s="179">
        <v>1298000000</v>
      </c>
      <c r="AX27" s="179">
        <v>1389500000</v>
      </c>
      <c r="AY27" s="179">
        <v>1461500000</v>
      </c>
      <c r="AZ27" s="179">
        <v>1581000000</v>
      </c>
      <c r="BA27" s="179">
        <v>1696000000</v>
      </c>
      <c r="BB27" s="179">
        <v>1729000000</v>
      </c>
      <c r="BC27" s="179">
        <v>1680500000</v>
      </c>
      <c r="BD27" s="179">
        <v>1738500000</v>
      </c>
      <c r="BE27" s="179">
        <v>1819500000</v>
      </c>
      <c r="BF27" s="179">
        <v>1903000000</v>
      </c>
      <c r="BG27" s="179">
        <v>2029500000</v>
      </c>
      <c r="BH27" s="179">
        <v>2138000000</v>
      </c>
      <c r="BI27" s="179">
        <v>2210500000</v>
      </c>
      <c r="BJ27" s="179">
        <v>2258500000</v>
      </c>
      <c r="BK27" s="179">
        <v>2286000000</v>
      </c>
      <c r="BL27" s="179">
        <v>2315000000</v>
      </c>
      <c r="BM27" s="179">
        <v>2416500000</v>
      </c>
      <c r="BN27" s="179">
        <v>2080000000</v>
      </c>
      <c r="BO27" s="179">
        <v>2491500000</v>
      </c>
      <c r="BP27" s="179">
        <v>2824081836.1986699</v>
      </c>
    </row>
    <row r="28" spans="1:68">
      <c r="A28" s="179" t="s">
        <v>529</v>
      </c>
      <c r="B28" s="179">
        <f t="shared" si="0"/>
        <v>1</v>
      </c>
      <c r="C28" s="179" t="s">
        <v>530</v>
      </c>
      <c r="D28" s="179" t="s">
        <v>494</v>
      </c>
      <c r="E28" s="179" t="s">
        <v>495</v>
      </c>
      <c r="F28" s="179">
        <v>226195578.06700614</v>
      </c>
      <c r="G28" s="179">
        <v>235668220.87222546</v>
      </c>
      <c r="H28" s="179">
        <v>236434954.34105867</v>
      </c>
      <c r="I28" s="179">
        <v>253927697.57302842</v>
      </c>
      <c r="J28" s="179">
        <v>269819005.7911002</v>
      </c>
      <c r="K28" s="179">
        <v>289908680.18067563</v>
      </c>
      <c r="L28" s="179">
        <v>302925235.69742835</v>
      </c>
      <c r="M28" s="179">
        <v>306221953.36472392</v>
      </c>
      <c r="N28" s="179">
        <v>326323105.58513045</v>
      </c>
      <c r="O28" s="179">
        <v>330748244.09269577</v>
      </c>
      <c r="P28" s="179">
        <v>333627713.4620356</v>
      </c>
      <c r="Q28" s="179">
        <v>335073027.92408013</v>
      </c>
      <c r="R28" s="179">
        <v>410331856.23796862</v>
      </c>
      <c r="S28" s="179">
        <v>504376074.0652613</v>
      </c>
      <c r="T28" s="179">
        <v>554654861.53713989</v>
      </c>
      <c r="U28" s="179">
        <v>676870139.26384759</v>
      </c>
      <c r="V28" s="179">
        <v>698408261.14167309</v>
      </c>
      <c r="W28" s="179">
        <v>750049780.16391551</v>
      </c>
      <c r="X28" s="179">
        <v>928843468.46871424</v>
      </c>
      <c r="Y28" s="179">
        <v>1186231018.3573058</v>
      </c>
      <c r="Z28" s="179">
        <v>1405251843.7822111</v>
      </c>
      <c r="AA28" s="179">
        <v>1291120190.5676408</v>
      </c>
      <c r="AB28" s="179">
        <v>1267778671.5203319</v>
      </c>
      <c r="AC28" s="179">
        <v>1095348199.3683209</v>
      </c>
      <c r="AD28" s="179">
        <v>1051134009.2997504</v>
      </c>
      <c r="AE28" s="179">
        <v>1045712789.8201042</v>
      </c>
      <c r="AF28" s="179">
        <v>1336102026.9964638</v>
      </c>
      <c r="AG28" s="179">
        <v>1562412225.8133965</v>
      </c>
      <c r="AH28" s="179">
        <v>1620246084.7773345</v>
      </c>
      <c r="AI28" s="179">
        <v>1502294413.8736217</v>
      </c>
      <c r="AJ28" s="179">
        <v>1959965330.4759636</v>
      </c>
      <c r="AK28" s="179">
        <v>1986437797.8767164</v>
      </c>
      <c r="AL28" s="179">
        <v>1695315305.7030787</v>
      </c>
      <c r="AM28" s="179">
        <v>2274558078.7448611</v>
      </c>
      <c r="AN28" s="179">
        <v>1598075944.858763</v>
      </c>
      <c r="AO28" s="179">
        <v>2169627138.3496671</v>
      </c>
      <c r="AP28" s="179">
        <v>2361116448.1352534</v>
      </c>
      <c r="AQ28" s="179">
        <v>2268301645.0936732</v>
      </c>
      <c r="AR28" s="179">
        <v>2455092688.1476712</v>
      </c>
      <c r="AS28" s="179">
        <v>3677393996.8378849</v>
      </c>
      <c r="AT28" s="179">
        <v>3519991440.323668</v>
      </c>
      <c r="AU28" s="179">
        <v>3666222633.8361039</v>
      </c>
      <c r="AV28" s="179">
        <v>4194342689.262836</v>
      </c>
      <c r="AW28" s="179">
        <v>5349258092.8914747</v>
      </c>
      <c r="AX28" s="179">
        <v>6190270377.0758286</v>
      </c>
      <c r="AY28" s="179">
        <v>6567654958.7533731</v>
      </c>
      <c r="AZ28" s="179">
        <v>7034111316.2995081</v>
      </c>
      <c r="BA28" s="179">
        <v>8169048374.7084599</v>
      </c>
      <c r="BB28" s="179">
        <v>9787734516.7418633</v>
      </c>
      <c r="BC28" s="179">
        <v>9738626509.9336758</v>
      </c>
      <c r="BD28" s="179">
        <v>9535345011.4872761</v>
      </c>
      <c r="BE28" s="179">
        <v>10693321370.035208</v>
      </c>
      <c r="BF28" s="179">
        <v>11141358105.986389</v>
      </c>
      <c r="BG28" s="179">
        <v>12517845127.67664</v>
      </c>
      <c r="BH28" s="179">
        <v>13284527850.262655</v>
      </c>
      <c r="BI28" s="179">
        <v>11388160997.108755</v>
      </c>
      <c r="BJ28" s="179">
        <v>11821065852.12697</v>
      </c>
      <c r="BK28" s="179">
        <v>12701655845.962154</v>
      </c>
      <c r="BL28" s="179">
        <v>14262408079.700474</v>
      </c>
      <c r="BM28" s="179">
        <v>14391686309.033735</v>
      </c>
      <c r="BN28" s="179">
        <v>15651545208.87711</v>
      </c>
      <c r="BO28" s="179">
        <v>17690083519.932217</v>
      </c>
      <c r="BP28" s="179">
        <v>17401746309.265961</v>
      </c>
    </row>
    <row r="29" spans="1:68">
      <c r="A29" s="179" t="s">
        <v>547</v>
      </c>
      <c r="B29" s="179">
        <f t="shared" si="0"/>
        <v>0</v>
      </c>
      <c r="C29" s="179" t="s">
        <v>548</v>
      </c>
      <c r="D29" s="179" t="s">
        <v>494</v>
      </c>
      <c r="E29" s="179" t="s">
        <v>495</v>
      </c>
      <c r="F29" s="179">
        <v>84466654.076911882</v>
      </c>
      <c r="G29" s="179">
        <v>89249986.697289482</v>
      </c>
      <c r="H29" s="179">
        <v>94149985.96694459</v>
      </c>
      <c r="I29" s="179">
        <v>96366652.303217143</v>
      </c>
      <c r="J29" s="179">
        <v>107566650.6338574</v>
      </c>
      <c r="K29" s="179">
        <v>114339048.96516557</v>
      </c>
      <c r="L29" s="179">
        <v>134173373.78565349</v>
      </c>
      <c r="M29" s="179">
        <v>155102984.62733382</v>
      </c>
      <c r="N29" s="179">
        <v>150000000</v>
      </c>
      <c r="O29" s="179">
        <v>164900000</v>
      </c>
      <c r="P29" s="179">
        <v>186300000</v>
      </c>
      <c r="Q29" s="179">
        <v>211100000</v>
      </c>
      <c r="R29" s="179">
        <v>235400000</v>
      </c>
      <c r="S29" s="179">
        <v>269500000</v>
      </c>
      <c r="T29" s="179">
        <v>312600000</v>
      </c>
      <c r="U29" s="179">
        <v>345000000</v>
      </c>
      <c r="V29" s="179">
        <v>386300000</v>
      </c>
      <c r="W29" s="179">
        <v>447000000</v>
      </c>
      <c r="X29" s="179">
        <v>475800000</v>
      </c>
      <c r="Y29" s="179">
        <v>517200000.00000006</v>
      </c>
      <c r="Z29" s="179">
        <v>613299968</v>
      </c>
      <c r="AA29" s="179">
        <v>739100032</v>
      </c>
      <c r="AB29" s="179">
        <v>785500032</v>
      </c>
      <c r="AC29" s="179">
        <v>889400000</v>
      </c>
      <c r="AD29" s="179">
        <v>985699968</v>
      </c>
      <c r="AE29" s="179">
        <v>1039500031.9999999</v>
      </c>
      <c r="AF29" s="179">
        <v>1173500032</v>
      </c>
      <c r="AG29" s="179">
        <v>1296499968</v>
      </c>
      <c r="AH29" s="179">
        <v>1415100032</v>
      </c>
      <c r="AI29" s="179">
        <v>1501500032</v>
      </c>
      <c r="AJ29" s="179">
        <v>1592400000</v>
      </c>
      <c r="AK29" s="179">
        <v>1634900000</v>
      </c>
      <c r="AL29" s="179">
        <v>1679900000</v>
      </c>
      <c r="AM29" s="179">
        <v>1820359900</v>
      </c>
      <c r="AN29" s="179">
        <v>1867160100</v>
      </c>
      <c r="AO29" s="179">
        <v>2030750000</v>
      </c>
      <c r="AP29" s="179">
        <v>2695390000</v>
      </c>
      <c r="AQ29" s="179">
        <v>2932827000</v>
      </c>
      <c r="AR29" s="179">
        <v>3130748000</v>
      </c>
      <c r="AS29" s="179">
        <v>3324433000</v>
      </c>
      <c r="AT29" s="179">
        <v>3480219000</v>
      </c>
      <c r="AU29" s="179">
        <v>3680483000</v>
      </c>
      <c r="AV29" s="179">
        <v>3937228000</v>
      </c>
      <c r="AW29" s="179">
        <v>4186524999.9999995</v>
      </c>
      <c r="AX29" s="179">
        <v>4484703000</v>
      </c>
      <c r="AY29" s="179">
        <v>4868136000</v>
      </c>
      <c r="AZ29" s="179">
        <v>6144000000</v>
      </c>
      <c r="BA29" s="179">
        <v>6767000000</v>
      </c>
      <c r="BB29" s="179">
        <v>6980000000</v>
      </c>
      <c r="BC29" s="179">
        <v>6656000000</v>
      </c>
      <c r="BD29" s="179">
        <v>6634526000</v>
      </c>
      <c r="BE29" s="179">
        <v>6312691000</v>
      </c>
      <c r="BF29" s="179">
        <v>6378188000</v>
      </c>
      <c r="BG29" s="179">
        <v>6465756000</v>
      </c>
      <c r="BH29" s="179">
        <v>6413988000</v>
      </c>
      <c r="BI29" s="179">
        <v>6654541000</v>
      </c>
      <c r="BJ29" s="179">
        <v>6899911000</v>
      </c>
      <c r="BK29" s="179">
        <v>7142316000</v>
      </c>
      <c r="BL29" s="179">
        <v>7225977000</v>
      </c>
      <c r="BM29" s="179">
        <v>7423465000</v>
      </c>
      <c r="BN29" s="179">
        <v>6887147000</v>
      </c>
      <c r="BO29" s="179">
        <v>7127200000</v>
      </c>
      <c r="BP29" s="179">
        <v>7550500000</v>
      </c>
    </row>
    <row r="30" spans="1:68">
      <c r="A30" s="179" t="s">
        <v>556</v>
      </c>
      <c r="B30" s="179">
        <f t="shared" si="0"/>
        <v>0</v>
      </c>
      <c r="C30" s="179" t="s">
        <v>557</v>
      </c>
      <c r="D30" s="179" t="s">
        <v>494</v>
      </c>
      <c r="E30" s="179" t="s">
        <v>495</v>
      </c>
      <c r="Z30" s="179">
        <v>128669205.78159186</v>
      </c>
      <c r="AA30" s="179">
        <v>139174180.99552411</v>
      </c>
      <c r="AB30" s="179">
        <v>141439318.40482393</v>
      </c>
      <c r="AC30" s="179">
        <v>156704286.11685455</v>
      </c>
      <c r="AD30" s="179">
        <v>160423489.26581633</v>
      </c>
      <c r="AE30" s="179">
        <v>163288815.32637027</v>
      </c>
      <c r="AF30" s="179">
        <v>191218110.43541414</v>
      </c>
      <c r="AG30" s="179">
        <v>242742766.35420284</v>
      </c>
      <c r="AH30" s="179">
        <v>272298060.01976055</v>
      </c>
      <c r="AI30" s="179">
        <v>264798626.1625219</v>
      </c>
      <c r="AJ30" s="179">
        <v>287765007.10715002</v>
      </c>
      <c r="AK30" s="179">
        <v>240294282.49395806</v>
      </c>
      <c r="AL30" s="179">
        <v>240233528.07081315</v>
      </c>
      <c r="AM30" s="179">
        <v>225973695.30730096</v>
      </c>
      <c r="AN30" s="179">
        <v>258954703.92159942</v>
      </c>
      <c r="AO30" s="179">
        <v>290490986.80187297</v>
      </c>
      <c r="AP30" s="179">
        <v>303408342.76580018</v>
      </c>
      <c r="AQ30" s="179">
        <v>352229078.32424909</v>
      </c>
      <c r="AR30" s="179">
        <v>363458380.90334153</v>
      </c>
      <c r="AS30" s="179">
        <v>399311196.41630971</v>
      </c>
      <c r="AT30" s="179">
        <v>424448931.00724816</v>
      </c>
      <c r="AU30" s="179">
        <v>461479580.18354011</v>
      </c>
      <c r="AV30" s="179">
        <v>520846131.7275514</v>
      </c>
      <c r="AW30" s="179">
        <v>603999372.37858582</v>
      </c>
      <c r="AX30" s="179">
        <v>682577073.52882719</v>
      </c>
      <c r="AY30" s="179">
        <v>796938571.96064174</v>
      </c>
      <c r="AZ30" s="179">
        <v>874989734.66393507</v>
      </c>
      <c r="BA30" s="179">
        <v>1168307574.7950764</v>
      </c>
      <c r="BB30" s="179">
        <v>1227809261.0420761</v>
      </c>
      <c r="BC30" s="179">
        <v>1234015141.6030478</v>
      </c>
      <c r="BD30" s="179">
        <v>1547990907.4630489</v>
      </c>
      <c r="BE30" s="179">
        <v>1777102585.9322872</v>
      </c>
      <c r="BF30" s="179">
        <v>1781280170.4429569</v>
      </c>
      <c r="BG30" s="179">
        <v>1756214303.9260912</v>
      </c>
      <c r="BH30" s="179">
        <v>1907090361.5788701</v>
      </c>
      <c r="BI30" s="179">
        <v>2003596824.3109901</v>
      </c>
      <c r="BJ30" s="179">
        <v>2158971717.5041785</v>
      </c>
      <c r="BK30" s="179">
        <v>2450366107.8822937</v>
      </c>
      <c r="BL30" s="179">
        <v>2446867582.2713294</v>
      </c>
      <c r="BM30" s="179">
        <v>2535655609.4588923</v>
      </c>
      <c r="BN30" s="179">
        <v>2325185520.5933862</v>
      </c>
      <c r="BO30" s="179">
        <v>2539551327.4829144</v>
      </c>
    </row>
    <row r="31" spans="1:68">
      <c r="A31" s="179" t="s">
        <v>549</v>
      </c>
      <c r="B31" s="179">
        <f t="shared" si="0"/>
        <v>0</v>
      </c>
      <c r="C31" s="179" t="s">
        <v>550</v>
      </c>
      <c r="D31" s="179" t="s">
        <v>494</v>
      </c>
      <c r="E31" s="179" t="s">
        <v>495</v>
      </c>
      <c r="F31" s="179">
        <v>377020202.02020204</v>
      </c>
      <c r="G31" s="179">
        <v>410101010.10101008</v>
      </c>
      <c r="H31" s="179">
        <v>448400673.40067339</v>
      </c>
      <c r="I31" s="179">
        <v>482828282.82828283</v>
      </c>
      <c r="J31" s="179">
        <v>544023569.02356899</v>
      </c>
      <c r="K31" s="179">
        <v>604377104.3771044</v>
      </c>
      <c r="L31" s="179">
        <v>669191919.19191921</v>
      </c>
      <c r="M31" s="179">
        <v>755808080.80808079</v>
      </c>
      <c r="N31" s="179">
        <v>857912457.91245794</v>
      </c>
      <c r="O31" s="179">
        <v>929629629.62962961</v>
      </c>
      <c r="P31" s="179">
        <v>1017003367.0033671</v>
      </c>
      <c r="Q31" s="179">
        <v>1095622895.6228957</v>
      </c>
      <c r="R31" s="179">
        <v>1257615644.9793155</v>
      </c>
      <c r="S31" s="179">
        <v>1262968515.7421288</v>
      </c>
      <c r="T31" s="179">
        <v>2100249875.0624688</v>
      </c>
      <c r="U31" s="179">
        <v>2404697651.1744127</v>
      </c>
      <c r="V31" s="179">
        <v>2731984007.9960022</v>
      </c>
      <c r="W31" s="179">
        <v>3227436281.8590703</v>
      </c>
      <c r="X31" s="179">
        <v>3758220889.5552225</v>
      </c>
      <c r="Y31" s="179">
        <v>4421336382.9439707</v>
      </c>
      <c r="Z31" s="179">
        <v>4537487802.5025702</v>
      </c>
      <c r="AA31" s="179">
        <v>5891606684.8882961</v>
      </c>
      <c r="AB31" s="179">
        <v>5594121317.374073</v>
      </c>
      <c r="AC31" s="179">
        <v>5422656265.8378878</v>
      </c>
      <c r="AD31" s="179">
        <v>6169483188.8341722</v>
      </c>
      <c r="AE31" s="179">
        <v>5377276555.0688562</v>
      </c>
      <c r="AF31" s="179">
        <v>3959382833.0877967</v>
      </c>
      <c r="AG31" s="179">
        <v>4347956337.833374</v>
      </c>
      <c r="AH31" s="179">
        <v>4597612362.0977068</v>
      </c>
      <c r="AI31" s="179">
        <v>4715972853.3758478</v>
      </c>
      <c r="AJ31" s="179">
        <v>4867582597.5232697</v>
      </c>
      <c r="AK31" s="179">
        <v>5343261959.6763172</v>
      </c>
      <c r="AL31" s="179">
        <v>5643869230.9993076</v>
      </c>
      <c r="AM31" s="179">
        <v>5734699040.6596251</v>
      </c>
      <c r="AN31" s="179">
        <v>5981223290.3246708</v>
      </c>
      <c r="AO31" s="179">
        <v>6715162198.5240593</v>
      </c>
      <c r="AP31" s="179">
        <v>7396948397.5377436</v>
      </c>
      <c r="AQ31" s="179">
        <v>7925736318.6367931</v>
      </c>
      <c r="AR31" s="179">
        <v>8497494138.0728884</v>
      </c>
      <c r="AS31" s="179">
        <v>8285063959.4316225</v>
      </c>
      <c r="AT31" s="179">
        <v>8397855937.4684095</v>
      </c>
      <c r="AU31" s="179">
        <v>8141517339.1521463</v>
      </c>
      <c r="AV31" s="179">
        <v>7905485146.4435148</v>
      </c>
      <c r="AW31" s="179">
        <v>8082399991.2958288</v>
      </c>
      <c r="AX31" s="179">
        <v>8773451751.5120964</v>
      </c>
      <c r="AY31" s="179">
        <v>9549122313.3964081</v>
      </c>
      <c r="AZ31" s="179">
        <v>11451845378.68969</v>
      </c>
      <c r="BA31" s="179">
        <v>13120107738.885059</v>
      </c>
      <c r="BB31" s="179">
        <v>16674276979.474499</v>
      </c>
      <c r="BC31" s="179">
        <v>17339992193.732193</v>
      </c>
      <c r="BD31" s="179">
        <v>19649724655.58194</v>
      </c>
      <c r="BE31" s="179">
        <v>23963162969.383213</v>
      </c>
      <c r="BF31" s="179">
        <v>27084497481.910275</v>
      </c>
      <c r="BG31" s="179">
        <v>30659338885.672935</v>
      </c>
      <c r="BH31" s="179">
        <v>32996188017.366135</v>
      </c>
      <c r="BI31" s="179">
        <v>33000198248.914616</v>
      </c>
      <c r="BJ31" s="179">
        <v>33941126193.921852</v>
      </c>
      <c r="BK31" s="179">
        <v>37508642170.767006</v>
      </c>
      <c r="BL31" s="179">
        <v>40287647930.535454</v>
      </c>
      <c r="BM31" s="179">
        <v>40895322850.940666</v>
      </c>
      <c r="BN31" s="179">
        <v>36629843806.078148</v>
      </c>
      <c r="BO31" s="179">
        <v>40408208523.878433</v>
      </c>
      <c r="BP31" s="179">
        <v>43068885672.937767</v>
      </c>
    </row>
    <row r="32" spans="1:68">
      <c r="A32" s="179" t="s">
        <v>541</v>
      </c>
      <c r="B32" s="179">
        <f t="shared" si="0"/>
        <v>1</v>
      </c>
      <c r="C32" s="179" t="s">
        <v>542</v>
      </c>
      <c r="D32" s="179" t="s">
        <v>494</v>
      </c>
      <c r="E32" s="179" t="s">
        <v>495</v>
      </c>
      <c r="AN32" s="179">
        <v>1255802469.1358023</v>
      </c>
      <c r="AO32" s="179">
        <v>1866572953.7366548</v>
      </c>
      <c r="AP32" s="179">
        <v>2786045321.6374269</v>
      </c>
      <c r="AQ32" s="179">
        <v>3671910025.9651456</v>
      </c>
      <c r="AR32" s="179">
        <v>4116775275.4059548</v>
      </c>
      <c r="AS32" s="179">
        <v>4686255380.5259266</v>
      </c>
      <c r="AT32" s="179">
        <v>5567774049.095335</v>
      </c>
      <c r="AU32" s="179">
        <v>5800616572.1644373</v>
      </c>
      <c r="AV32" s="179">
        <v>6728219506.7394323</v>
      </c>
      <c r="AW32" s="179">
        <v>8498893357.9602509</v>
      </c>
      <c r="AX32" s="179">
        <v>10156541358.178688</v>
      </c>
      <c r="AY32" s="179">
        <v>11222796196.678875</v>
      </c>
      <c r="AZ32" s="179">
        <v>12864842268.543501</v>
      </c>
      <c r="BA32" s="179">
        <v>15778737117.298706</v>
      </c>
      <c r="BB32" s="179">
        <v>19112801196.858318</v>
      </c>
      <c r="BC32" s="179">
        <v>17613946109.018719</v>
      </c>
      <c r="BD32" s="179">
        <v>17176320823.189215</v>
      </c>
      <c r="BE32" s="179">
        <v>18644239027.714008</v>
      </c>
      <c r="BF32" s="179">
        <v>17226736284.823196</v>
      </c>
      <c r="BG32" s="179">
        <v>18179104548.880371</v>
      </c>
      <c r="BH32" s="179">
        <v>18558731212.866611</v>
      </c>
      <c r="BI32" s="179">
        <v>16404352155.613997</v>
      </c>
      <c r="BJ32" s="179">
        <v>17116926092.390501</v>
      </c>
      <c r="BK32" s="179">
        <v>18326376394.079632</v>
      </c>
      <c r="BL32" s="179">
        <v>20484048415.501945</v>
      </c>
      <c r="BM32" s="179">
        <v>20482603346.447266</v>
      </c>
      <c r="BN32" s="179">
        <v>20226030731.013092</v>
      </c>
      <c r="BO32" s="179">
        <v>23649566069.235477</v>
      </c>
      <c r="BP32" s="179">
        <v>24527507287.796188</v>
      </c>
    </row>
    <row r="33" spans="1:68">
      <c r="A33" s="179" t="s">
        <v>558</v>
      </c>
      <c r="B33" s="179">
        <f t="shared" si="0"/>
        <v>1</v>
      </c>
      <c r="C33" s="179" t="s">
        <v>559</v>
      </c>
      <c r="D33" s="179" t="s">
        <v>494</v>
      </c>
      <c r="E33" s="179" t="s">
        <v>495</v>
      </c>
      <c r="F33" s="179">
        <v>30411418.678829499</v>
      </c>
      <c r="G33" s="179">
        <v>32902592.836286068</v>
      </c>
      <c r="H33" s="179">
        <v>35644931.942152984</v>
      </c>
      <c r="I33" s="179">
        <v>38091832.989384674</v>
      </c>
      <c r="J33" s="179">
        <v>41616368.315993428</v>
      </c>
      <c r="K33" s="179">
        <v>45788670.693014599</v>
      </c>
      <c r="L33" s="179">
        <v>51465624.409076937</v>
      </c>
      <c r="M33" s="179">
        <v>58642385.237674385</v>
      </c>
      <c r="N33" s="179">
        <v>66248426.994140863</v>
      </c>
      <c r="O33" s="179">
        <v>77361532.993512318</v>
      </c>
      <c r="P33" s="179">
        <v>96243298.139383331</v>
      </c>
      <c r="Q33" s="179">
        <v>127448656.12560534</v>
      </c>
      <c r="R33" s="179">
        <v>164460827.50660485</v>
      </c>
      <c r="S33" s="179">
        <v>244124115.6531758</v>
      </c>
      <c r="T33" s="179">
        <v>306044205.92212152</v>
      </c>
      <c r="U33" s="179">
        <v>355168715.3751756</v>
      </c>
      <c r="V33" s="179">
        <v>372025093.43410224</v>
      </c>
      <c r="W33" s="179">
        <v>451624959.61005038</v>
      </c>
      <c r="X33" s="179">
        <v>590407375.16003299</v>
      </c>
      <c r="Y33" s="179">
        <v>819870595.11153734</v>
      </c>
      <c r="Z33" s="179">
        <v>1060889705.1187104</v>
      </c>
      <c r="AA33" s="179">
        <v>1073812403.8066216</v>
      </c>
      <c r="AB33" s="179">
        <v>1014945860.8254869</v>
      </c>
      <c r="AC33" s="179">
        <v>1172230575.5799584</v>
      </c>
      <c r="AD33" s="179">
        <v>1240821849.2757642</v>
      </c>
      <c r="AE33" s="179">
        <v>1114783538.1740589</v>
      </c>
      <c r="AF33" s="179">
        <v>1392602040.1479399</v>
      </c>
      <c r="AG33" s="179">
        <v>1965227085.1315527</v>
      </c>
      <c r="AH33" s="179">
        <v>2644554881.8418589</v>
      </c>
      <c r="AI33" s="179">
        <v>3083822367.1068263</v>
      </c>
      <c r="AJ33" s="179">
        <v>3790636664.0254593</v>
      </c>
      <c r="AK33" s="179">
        <v>3942877353.5905428</v>
      </c>
      <c r="AL33" s="179">
        <v>4146464586.6167388</v>
      </c>
      <c r="AM33" s="179">
        <v>4160129174.7056947</v>
      </c>
      <c r="AN33" s="179">
        <v>4259258810.8932819</v>
      </c>
      <c r="AO33" s="179">
        <v>4730599690.7397423</v>
      </c>
      <c r="AP33" s="179">
        <v>4847757703.866293</v>
      </c>
      <c r="AQ33" s="179">
        <v>5020265168.289011</v>
      </c>
      <c r="AR33" s="179">
        <v>4790481509.1767864</v>
      </c>
      <c r="AS33" s="179">
        <v>5484263050.3956165</v>
      </c>
      <c r="AT33" s="179">
        <v>5788329609.1575527</v>
      </c>
      <c r="AU33" s="179">
        <v>5489608299.6644526</v>
      </c>
      <c r="AV33" s="179">
        <v>5438864269.3936119</v>
      </c>
      <c r="AW33" s="179">
        <v>7511582173.3772392</v>
      </c>
      <c r="AX33" s="179">
        <v>8957467706.5354042</v>
      </c>
      <c r="AY33" s="179">
        <v>9918907108.0970154</v>
      </c>
      <c r="AZ33" s="179">
        <v>9919158482.4108524</v>
      </c>
      <c r="BA33" s="179">
        <v>10567270655.502705</v>
      </c>
      <c r="BB33" s="179">
        <v>10730828592.458956</v>
      </c>
      <c r="BC33" s="179">
        <v>10118459713.702379</v>
      </c>
      <c r="BD33" s="179">
        <v>12637273429.133932</v>
      </c>
      <c r="BE33" s="179">
        <v>15110642875.596531</v>
      </c>
      <c r="BF33" s="179">
        <v>13907464500.148876</v>
      </c>
      <c r="BG33" s="179">
        <v>14271738366.791723</v>
      </c>
      <c r="BH33" s="179">
        <v>15470087926.248444</v>
      </c>
      <c r="BI33" s="179">
        <v>13530749289.786123</v>
      </c>
      <c r="BJ33" s="179">
        <v>15082636722.855951</v>
      </c>
      <c r="BK33" s="179">
        <v>16105156375.584837</v>
      </c>
      <c r="BL33" s="179">
        <v>17031943186.13526</v>
      </c>
      <c r="BM33" s="179">
        <v>16725908661.941927</v>
      </c>
      <c r="BN33" s="179">
        <v>14960291540.528328</v>
      </c>
      <c r="BO33" s="179">
        <v>18737066306.965874</v>
      </c>
      <c r="BP33" s="179">
        <v>20352322157.146694</v>
      </c>
    </row>
    <row r="34" spans="1:68">
      <c r="A34" s="179" t="s">
        <v>88</v>
      </c>
      <c r="B34" s="179">
        <f t="shared" si="0"/>
        <v>0</v>
      </c>
      <c r="C34" s="179" t="s">
        <v>551</v>
      </c>
      <c r="D34" s="179" t="s">
        <v>494</v>
      </c>
      <c r="E34" s="179" t="s">
        <v>495</v>
      </c>
      <c r="F34" s="179">
        <v>17030465539.390615</v>
      </c>
      <c r="G34" s="179">
        <v>17275940449.383743</v>
      </c>
      <c r="H34" s="179">
        <v>19231747851.533188</v>
      </c>
      <c r="I34" s="179">
        <v>23287712878.20023</v>
      </c>
      <c r="J34" s="179">
        <v>20963733694.974895</v>
      </c>
      <c r="K34" s="179">
        <v>22465522884.098793</v>
      </c>
      <c r="L34" s="179">
        <v>28283323733.111351</v>
      </c>
      <c r="M34" s="179">
        <v>31086389194.960979</v>
      </c>
      <c r="N34" s="179">
        <v>33930457425.261284</v>
      </c>
      <c r="O34" s="179">
        <v>37171640818.586319</v>
      </c>
      <c r="P34" s="179">
        <v>42327664793.69339</v>
      </c>
      <c r="Q34" s="179">
        <v>48869830901.787758</v>
      </c>
      <c r="R34" s="179">
        <v>58434858374.869598</v>
      </c>
      <c r="S34" s="179">
        <v>83592275862.998199</v>
      </c>
      <c r="T34" s="179">
        <v>109794519727.53831</v>
      </c>
      <c r="U34" s="179">
        <v>129203555238.82715</v>
      </c>
      <c r="V34" s="179">
        <v>153168949208.20691</v>
      </c>
      <c r="W34" s="179">
        <v>176344101401.94095</v>
      </c>
      <c r="X34" s="179">
        <v>200278646123.5813</v>
      </c>
      <c r="Y34" s="179">
        <v>221338204480.22247</v>
      </c>
      <c r="Z34" s="179">
        <v>237393489892.63696</v>
      </c>
      <c r="AA34" s="179">
        <v>258015174748.64758</v>
      </c>
      <c r="AB34" s="179">
        <v>271314113768.41696</v>
      </c>
      <c r="AC34" s="179">
        <v>189656506321.43079</v>
      </c>
      <c r="AD34" s="179">
        <v>188339974086.58005</v>
      </c>
      <c r="AE34" s="179">
        <v>210879844638.87735</v>
      </c>
      <c r="AF34" s="179">
        <v>256480852471.12866</v>
      </c>
      <c r="AG34" s="179">
        <v>283056836893.83826</v>
      </c>
      <c r="AH34" s="179">
        <v>307881930752.26764</v>
      </c>
      <c r="AI34" s="179">
        <v>412990820287.4201</v>
      </c>
      <c r="AJ34" s="179">
        <v>464989098144.85449</v>
      </c>
      <c r="AK34" s="179">
        <v>407729053018.90723</v>
      </c>
      <c r="AL34" s="179">
        <v>390566561752.67114</v>
      </c>
      <c r="AM34" s="179">
        <v>438299504463.02032</v>
      </c>
      <c r="AN34" s="179">
        <v>546229749726.26312</v>
      </c>
      <c r="AO34" s="179">
        <v>769333330439.52026</v>
      </c>
      <c r="AP34" s="179">
        <v>850426432991.74207</v>
      </c>
      <c r="AQ34" s="179">
        <v>883206452832.8114</v>
      </c>
      <c r="AR34" s="179">
        <v>863711007338.68286</v>
      </c>
      <c r="AS34" s="179">
        <v>599642075039.04858</v>
      </c>
      <c r="AT34" s="179">
        <v>655448188246.10962</v>
      </c>
      <c r="AU34" s="179">
        <v>559983704075.65808</v>
      </c>
      <c r="AV34" s="179">
        <v>509795270707.26764</v>
      </c>
      <c r="AW34" s="179">
        <v>558233724160.74194</v>
      </c>
      <c r="AX34" s="179">
        <v>669289321953.68286</v>
      </c>
      <c r="AY34" s="179">
        <v>891633826582.60583</v>
      </c>
      <c r="AZ34" s="179">
        <v>1107626711436.4417</v>
      </c>
      <c r="BA34" s="179">
        <v>1397114247287.5771</v>
      </c>
      <c r="BB34" s="179">
        <v>1695855391816.4766</v>
      </c>
      <c r="BC34" s="179">
        <v>1666996294324.7571</v>
      </c>
      <c r="BD34" s="179">
        <v>2208838108593.1865</v>
      </c>
      <c r="BE34" s="179">
        <v>2616156606734.5132</v>
      </c>
      <c r="BF34" s="179">
        <v>2465228293862.6196</v>
      </c>
      <c r="BG34" s="179">
        <v>2472819362259.0034</v>
      </c>
      <c r="BH34" s="179">
        <v>2456043766063.4976</v>
      </c>
      <c r="BI34" s="179">
        <v>1802211999555.5911</v>
      </c>
      <c r="BJ34" s="179">
        <v>1795693265824.2683</v>
      </c>
      <c r="BK34" s="179">
        <v>2063514688761.6658</v>
      </c>
      <c r="BL34" s="179">
        <v>1916933708404.1624</v>
      </c>
      <c r="BM34" s="179">
        <v>1873288159000.6404</v>
      </c>
      <c r="BN34" s="179">
        <v>1476107292036.5889</v>
      </c>
      <c r="BO34" s="179">
        <v>1649622972159.3523</v>
      </c>
      <c r="BP34" s="179">
        <v>1920095560995.0596</v>
      </c>
    </row>
    <row r="35" spans="1:68">
      <c r="A35" s="179" t="s">
        <v>972</v>
      </c>
      <c r="B35" s="179">
        <f t="shared" si="0"/>
        <v>0</v>
      </c>
      <c r="C35" s="179" t="s">
        <v>973</v>
      </c>
      <c r="D35" s="179" t="s">
        <v>494</v>
      </c>
      <c r="E35" s="179" t="s">
        <v>495</v>
      </c>
    </row>
    <row r="36" spans="1:68">
      <c r="A36" s="179" t="s">
        <v>554</v>
      </c>
      <c r="B36" s="179">
        <f t="shared" si="0"/>
        <v>0</v>
      </c>
      <c r="C36" s="179" t="s">
        <v>555</v>
      </c>
      <c r="D36" s="179" t="s">
        <v>494</v>
      </c>
      <c r="E36" s="179" t="s">
        <v>495</v>
      </c>
      <c r="K36" s="179">
        <v>114039500.51448099</v>
      </c>
      <c r="L36" s="179">
        <v>132757527.95498446</v>
      </c>
      <c r="M36" s="179">
        <v>139029537.14970812</v>
      </c>
      <c r="N36" s="179">
        <v>160818235.75846174</v>
      </c>
      <c r="O36" s="179">
        <v>161210236.33313197</v>
      </c>
      <c r="P36" s="179">
        <v>179078929.19518325</v>
      </c>
      <c r="Q36" s="179">
        <v>197525739.97680342</v>
      </c>
      <c r="R36" s="179">
        <v>270822794.67245811</v>
      </c>
      <c r="S36" s="179">
        <v>433095587.46986443</v>
      </c>
      <c r="T36" s="179">
        <v>1073591771.2204183</v>
      </c>
      <c r="U36" s="179">
        <v>1168304306.1067557</v>
      </c>
      <c r="V36" s="179">
        <v>1423037359.4965036</v>
      </c>
      <c r="W36" s="179">
        <v>1732721161.4739449</v>
      </c>
      <c r="X36" s="179">
        <v>1941579358.8979788</v>
      </c>
      <c r="Y36" s="179">
        <v>2803833729.7626848</v>
      </c>
      <c r="Z36" s="179">
        <v>4928805777.281498</v>
      </c>
      <c r="AA36" s="179">
        <v>4366231073.1148596</v>
      </c>
      <c r="AB36" s="179">
        <v>4264202522.6590748</v>
      </c>
      <c r="AC36" s="179">
        <v>3844632168.5926189</v>
      </c>
      <c r="AD36" s="179">
        <v>3782552643.4789314</v>
      </c>
      <c r="AE36" s="179">
        <v>3523532486.9552073</v>
      </c>
      <c r="AF36" s="179">
        <v>2358574763.8530807</v>
      </c>
      <c r="AG36" s="179">
        <v>2754485236.5086823</v>
      </c>
      <c r="AH36" s="179">
        <v>2690684124.8742189</v>
      </c>
      <c r="AI36" s="179">
        <v>2985531762.8861184</v>
      </c>
      <c r="AJ36" s="179">
        <v>3520486979.549808</v>
      </c>
      <c r="AK36" s="179">
        <v>3701774188.8802061</v>
      </c>
      <c r="AL36" s="179">
        <v>4183633796.476285</v>
      </c>
      <c r="AM36" s="179">
        <v>4105729444.1473274</v>
      </c>
      <c r="AN36" s="179">
        <v>4087219772.8994913</v>
      </c>
      <c r="AO36" s="179">
        <v>4734103536.4670601</v>
      </c>
      <c r="AP36" s="179">
        <v>5115454694.2789602</v>
      </c>
      <c r="AQ36" s="179">
        <v>5197312555.4575996</v>
      </c>
      <c r="AR36" s="179">
        <v>4051143193.1731982</v>
      </c>
      <c r="AS36" s="179">
        <v>4600117603.7932053</v>
      </c>
      <c r="AT36" s="179">
        <v>6001280943.7169123</v>
      </c>
      <c r="AU36" s="179">
        <v>5601020247.2760143</v>
      </c>
      <c r="AV36" s="179">
        <v>5843367180.0609407</v>
      </c>
      <c r="AW36" s="179">
        <v>6557395815.5953856</v>
      </c>
      <c r="AX36" s="179">
        <v>7872201250.9158192</v>
      </c>
      <c r="AY36" s="179">
        <v>9531417164.4694252</v>
      </c>
      <c r="AZ36" s="179">
        <v>11470462364.689123</v>
      </c>
      <c r="BA36" s="179">
        <v>12247680702.805912</v>
      </c>
      <c r="BB36" s="179">
        <v>14393437610.255171</v>
      </c>
      <c r="BC36" s="179">
        <v>10732592999.391754</v>
      </c>
      <c r="BD36" s="179">
        <v>13707275498.056877</v>
      </c>
      <c r="BE36" s="179">
        <v>18525128229.675442</v>
      </c>
      <c r="BF36" s="179">
        <v>19048443089.253067</v>
      </c>
      <c r="BG36" s="179">
        <v>18094326392.708618</v>
      </c>
      <c r="BH36" s="179">
        <v>17097801091.977133</v>
      </c>
      <c r="BI36" s="179">
        <v>12930292949.421553</v>
      </c>
      <c r="BJ36" s="179">
        <v>11400467372.494339</v>
      </c>
      <c r="BK36" s="179">
        <v>12128182463.596029</v>
      </c>
      <c r="BL36" s="179">
        <v>13567164444.970728</v>
      </c>
      <c r="BM36" s="179">
        <v>13469240162.549618</v>
      </c>
      <c r="BN36" s="179">
        <v>12005795914.730585</v>
      </c>
      <c r="BO36" s="179">
        <v>14006497000.247732</v>
      </c>
      <c r="BP36" s="179">
        <v>16681531645.734699</v>
      </c>
    </row>
    <row r="37" spans="1:68">
      <c r="A37" s="179" t="s">
        <v>535</v>
      </c>
      <c r="B37" s="179">
        <f t="shared" si="0"/>
        <v>1</v>
      </c>
      <c r="C37" s="179" t="s">
        <v>536</v>
      </c>
      <c r="D37" s="179" t="s">
        <v>494</v>
      </c>
      <c r="E37" s="179" t="s">
        <v>495</v>
      </c>
      <c r="Z37" s="179">
        <v>19839230769.23077</v>
      </c>
      <c r="AA37" s="179">
        <v>19870000000</v>
      </c>
      <c r="AB37" s="179">
        <v>19342000000</v>
      </c>
      <c r="AC37" s="179">
        <v>16563666666.666668</v>
      </c>
      <c r="AD37" s="179">
        <v>17594944444.444447</v>
      </c>
      <c r="AE37" s="179">
        <v>17155421052.631578</v>
      </c>
      <c r="AF37" s="179">
        <v>20249294117.64706</v>
      </c>
      <c r="AG37" s="179">
        <v>28101000000</v>
      </c>
      <c r="AH37" s="179">
        <v>22555941176.470589</v>
      </c>
      <c r="AI37" s="179">
        <v>21988444444.444447</v>
      </c>
      <c r="AJ37" s="179">
        <v>20632090909.090908</v>
      </c>
      <c r="AK37" s="179">
        <v>10943548387.096775</v>
      </c>
      <c r="AL37" s="179">
        <v>10350515463.917526</v>
      </c>
      <c r="AM37" s="179">
        <v>10832228507.231464</v>
      </c>
      <c r="AN37" s="179">
        <v>9697416974.1697426</v>
      </c>
      <c r="AO37" s="179">
        <v>18991531542.708279</v>
      </c>
      <c r="AP37" s="179">
        <v>12294987876.312128</v>
      </c>
      <c r="AQ37" s="179">
        <v>11316126257.583881</v>
      </c>
      <c r="AR37" s="179">
        <v>15031052200.54632</v>
      </c>
      <c r="AS37" s="179">
        <v>13627325461.174295</v>
      </c>
      <c r="AT37" s="179">
        <v>13245990274.45809</v>
      </c>
      <c r="AU37" s="179">
        <v>14183443861.69018</v>
      </c>
      <c r="AV37" s="179">
        <v>16403043849.829679</v>
      </c>
      <c r="AW37" s="179">
        <v>21144962058.288509</v>
      </c>
      <c r="AX37" s="179">
        <v>26157744752.78344</v>
      </c>
      <c r="AY37" s="179">
        <v>29868651533.118816</v>
      </c>
      <c r="AZ37" s="179">
        <v>34380543845.397339</v>
      </c>
      <c r="BA37" s="179">
        <v>44432811756.473053</v>
      </c>
      <c r="BB37" s="179">
        <v>54480697770.077271</v>
      </c>
      <c r="BC37" s="179">
        <v>52023813557.815796</v>
      </c>
      <c r="BD37" s="179">
        <v>50754203890.734085</v>
      </c>
      <c r="BE37" s="179">
        <v>57735709913.885132</v>
      </c>
      <c r="BF37" s="179">
        <v>54290156342.376671</v>
      </c>
      <c r="BG37" s="179">
        <v>55844245263.801186</v>
      </c>
      <c r="BH37" s="179">
        <v>57159557804.646111</v>
      </c>
      <c r="BI37" s="179">
        <v>50828088835.942818</v>
      </c>
      <c r="BJ37" s="179">
        <v>53987487124.342072</v>
      </c>
      <c r="BK37" s="179">
        <v>59343060705.827988</v>
      </c>
      <c r="BL37" s="179">
        <v>66399602077.169258</v>
      </c>
      <c r="BM37" s="179">
        <v>68911930627.897659</v>
      </c>
      <c r="BN37" s="179">
        <v>70404359049.232025</v>
      </c>
      <c r="BO37" s="179">
        <v>84061395658.220963</v>
      </c>
      <c r="BP37" s="179">
        <v>89040398406.374512</v>
      </c>
    </row>
    <row r="38" spans="1:68">
      <c r="A38" s="179" t="s">
        <v>531</v>
      </c>
      <c r="B38" s="179">
        <f t="shared" si="0"/>
        <v>1</v>
      </c>
      <c r="C38" s="179" t="s">
        <v>532</v>
      </c>
      <c r="D38" s="179" t="s">
        <v>494</v>
      </c>
      <c r="E38" s="179" t="s">
        <v>495</v>
      </c>
      <c r="F38" s="179">
        <v>330442815.28432792</v>
      </c>
      <c r="G38" s="179">
        <v>350247234.80171943</v>
      </c>
      <c r="H38" s="179">
        <v>379567099.73501694</v>
      </c>
      <c r="I38" s="179">
        <v>394040667.59511411</v>
      </c>
      <c r="J38" s="179">
        <v>410321644.83254784</v>
      </c>
      <c r="K38" s="179">
        <v>422916789.38984543</v>
      </c>
      <c r="L38" s="179">
        <v>433889767.02067566</v>
      </c>
      <c r="M38" s="179">
        <v>450753923.93048888</v>
      </c>
      <c r="N38" s="179">
        <v>460442689.82842177</v>
      </c>
      <c r="O38" s="179">
        <v>478298644.74758506</v>
      </c>
      <c r="P38" s="179">
        <v>458404268.71744996</v>
      </c>
      <c r="Q38" s="179">
        <v>482411179.67246133</v>
      </c>
      <c r="R38" s="179">
        <v>578595520.92800272</v>
      </c>
      <c r="S38" s="179">
        <v>674773569.71640849</v>
      </c>
      <c r="T38" s="179">
        <v>751133431.57949579</v>
      </c>
      <c r="U38" s="179">
        <v>939972701.96643996</v>
      </c>
      <c r="V38" s="179">
        <v>976547186.96335602</v>
      </c>
      <c r="W38" s="179">
        <v>1131224880.1843352</v>
      </c>
      <c r="X38" s="179">
        <v>1475583643.4062777</v>
      </c>
      <c r="Y38" s="179">
        <v>1748480618.3673482</v>
      </c>
      <c r="Z38" s="179">
        <v>1928719884.4211416</v>
      </c>
      <c r="AA38" s="179">
        <v>1775842336.5091577</v>
      </c>
      <c r="AB38" s="179">
        <v>1754450097.8443251</v>
      </c>
      <c r="AC38" s="179">
        <v>1600278605.1512299</v>
      </c>
      <c r="AD38" s="179">
        <v>1459880132.8493359</v>
      </c>
      <c r="AE38" s="179">
        <v>1552493197.2808278</v>
      </c>
      <c r="AF38" s="179">
        <v>2036303360.3007455</v>
      </c>
      <c r="AG38" s="179">
        <v>2369834946.5665455</v>
      </c>
      <c r="AH38" s="179">
        <v>2616040480.5795212</v>
      </c>
      <c r="AI38" s="179">
        <v>2615587729.9726515</v>
      </c>
      <c r="AJ38" s="179">
        <v>3101300779.0836363</v>
      </c>
      <c r="AK38" s="179">
        <v>3135045586.2084475</v>
      </c>
      <c r="AL38" s="179">
        <v>3356692508.3456955</v>
      </c>
      <c r="AM38" s="179">
        <v>3199536459.5834332</v>
      </c>
      <c r="AN38" s="179">
        <v>1895290638.2703836</v>
      </c>
      <c r="AO38" s="179">
        <v>2379517975.7510338</v>
      </c>
      <c r="AP38" s="179">
        <v>2586550594.0322161</v>
      </c>
      <c r="AQ38" s="179">
        <v>2447669100.4697833</v>
      </c>
      <c r="AR38" s="179">
        <v>2804902369.2039771</v>
      </c>
      <c r="AS38" s="179">
        <v>3389566710.9026561</v>
      </c>
      <c r="AT38" s="179">
        <v>2968370087.4664931</v>
      </c>
      <c r="AU38" s="179">
        <v>3190371079.8141141</v>
      </c>
      <c r="AV38" s="179">
        <v>3622350065.5903015</v>
      </c>
      <c r="AW38" s="179">
        <v>4740768141.2650013</v>
      </c>
      <c r="AX38" s="179">
        <v>5451688534.5952406</v>
      </c>
      <c r="AY38" s="179">
        <v>6146353177.4336653</v>
      </c>
      <c r="AZ38" s="179">
        <v>6547419821.6948614</v>
      </c>
      <c r="BA38" s="179">
        <v>7625722829.1789246</v>
      </c>
      <c r="BB38" s="179">
        <v>9451435480.943222</v>
      </c>
      <c r="BC38" s="179">
        <v>9450696866.4827595</v>
      </c>
      <c r="BD38" s="179">
        <v>10109619736.144173</v>
      </c>
      <c r="BE38" s="179">
        <v>12080295984.768187</v>
      </c>
      <c r="BF38" s="179">
        <v>12561015145.392529</v>
      </c>
      <c r="BG38" s="179">
        <v>13444300489.863441</v>
      </c>
      <c r="BH38" s="179">
        <v>13943016080.264626</v>
      </c>
      <c r="BI38" s="179">
        <v>11832159315.977814</v>
      </c>
      <c r="BJ38" s="179">
        <v>12833363043.971859</v>
      </c>
      <c r="BK38" s="179">
        <v>14106955625.357096</v>
      </c>
      <c r="BL38" s="179">
        <v>15890066209.895901</v>
      </c>
      <c r="BM38" s="179">
        <v>16178161666.133354</v>
      </c>
      <c r="BN38" s="179">
        <v>17933606212.629368</v>
      </c>
      <c r="BO38" s="179">
        <v>19737616003.022026</v>
      </c>
      <c r="BP38" s="179">
        <v>18884619613.438755</v>
      </c>
    </row>
    <row r="39" spans="1:68">
      <c r="A39" s="179" t="s">
        <v>525</v>
      </c>
      <c r="B39" s="179">
        <f t="shared" si="0"/>
        <v>1</v>
      </c>
      <c r="C39" s="179" t="s">
        <v>526</v>
      </c>
      <c r="D39" s="179" t="s">
        <v>494</v>
      </c>
      <c r="E39" s="179" t="s">
        <v>495</v>
      </c>
      <c r="F39" s="179">
        <v>195999989.80792001</v>
      </c>
      <c r="G39" s="179">
        <v>202999991.80105999</v>
      </c>
      <c r="H39" s="179">
        <v>213500005.79076999</v>
      </c>
      <c r="I39" s="179">
        <v>232749997.771905</v>
      </c>
      <c r="J39" s="179">
        <v>260750007.74446499</v>
      </c>
      <c r="K39" s="179">
        <v>158994962.81197661</v>
      </c>
      <c r="L39" s="179">
        <v>165444571.26312685</v>
      </c>
      <c r="M39" s="179">
        <v>178297142.6788457</v>
      </c>
      <c r="N39" s="179">
        <v>183199999.8168</v>
      </c>
      <c r="O39" s="179">
        <v>190205714.09550858</v>
      </c>
      <c r="P39" s="179">
        <v>242732571.18583885</v>
      </c>
      <c r="Q39" s="179">
        <v>252842285.48251373</v>
      </c>
      <c r="R39" s="179">
        <v>246804571.42857143</v>
      </c>
      <c r="S39" s="179">
        <v>304339839.55214554</v>
      </c>
      <c r="T39" s="179">
        <v>345263492.06349206</v>
      </c>
      <c r="U39" s="179">
        <v>420986666.66666663</v>
      </c>
      <c r="V39" s="179">
        <v>448412753.62318838</v>
      </c>
      <c r="W39" s="179">
        <v>547535555.55555558</v>
      </c>
      <c r="X39" s="179">
        <v>610225555.55555558</v>
      </c>
      <c r="Y39" s="179">
        <v>782496666.66666663</v>
      </c>
      <c r="Z39" s="179">
        <v>919726666.66666663</v>
      </c>
      <c r="AA39" s="179">
        <v>969046666.66666663</v>
      </c>
      <c r="AB39" s="179">
        <v>1013222222.2222222</v>
      </c>
      <c r="AC39" s="179">
        <v>1082926304.464766</v>
      </c>
      <c r="AD39" s="179">
        <v>987143931.16698694</v>
      </c>
      <c r="AE39" s="179">
        <v>1149979285.7734692</v>
      </c>
      <c r="AF39" s="179">
        <v>1201725497.065779</v>
      </c>
      <c r="AG39" s="179">
        <v>1131466494.0110068</v>
      </c>
      <c r="AH39" s="179">
        <v>1082403219.4878733</v>
      </c>
      <c r="AI39" s="179">
        <v>1113924130.4114907</v>
      </c>
      <c r="AJ39" s="179">
        <v>1132101252.5181746</v>
      </c>
      <c r="AK39" s="179">
        <v>1167398478.3459036</v>
      </c>
      <c r="AL39" s="179">
        <v>1083037670.60484</v>
      </c>
      <c r="AM39" s="179">
        <v>938632612.02635908</v>
      </c>
      <c r="AN39" s="179">
        <v>925030590.15368295</v>
      </c>
      <c r="AO39" s="179">
        <v>1000428393.885281</v>
      </c>
      <c r="AP39" s="179">
        <v>869033856.31709325</v>
      </c>
      <c r="AQ39" s="179">
        <v>972896267.91542494</v>
      </c>
      <c r="AR39" s="179">
        <v>893770739.54206049</v>
      </c>
      <c r="AS39" s="179">
        <v>808077223.36574638</v>
      </c>
      <c r="AT39" s="179">
        <v>870486065.88313663</v>
      </c>
      <c r="AU39" s="179">
        <v>876794723.06858552</v>
      </c>
      <c r="AV39" s="179">
        <v>825394519.71932983</v>
      </c>
      <c r="AW39" s="179">
        <v>784654423.62047637</v>
      </c>
      <c r="AX39" s="179">
        <v>915257323.39609957</v>
      </c>
      <c r="AY39" s="179">
        <v>1117113080.0807366</v>
      </c>
      <c r="AZ39" s="179">
        <v>1273375078.4484448</v>
      </c>
      <c r="BA39" s="179">
        <v>1356199386.7962928</v>
      </c>
      <c r="BB39" s="179">
        <v>1611835856.5927505</v>
      </c>
      <c r="BC39" s="179">
        <v>1781455140.3420186</v>
      </c>
      <c r="BD39" s="179">
        <v>2032135191.4621105</v>
      </c>
      <c r="BE39" s="179">
        <v>2235820808.7290778</v>
      </c>
      <c r="BF39" s="179">
        <v>2333341334.4575348</v>
      </c>
      <c r="BG39" s="179">
        <v>2451606631.7669597</v>
      </c>
      <c r="BH39" s="179">
        <v>2705783330.3879633</v>
      </c>
      <c r="BI39" s="179">
        <v>3104003545.6067519</v>
      </c>
      <c r="BJ39" s="179">
        <v>2644487777.236928</v>
      </c>
      <c r="BK39" s="179">
        <v>2723586962.1868644</v>
      </c>
      <c r="BL39" s="179">
        <v>2667182198.9792466</v>
      </c>
      <c r="BM39" s="179">
        <v>2576518879.3988056</v>
      </c>
      <c r="BN39" s="179">
        <v>2649680261.0109677</v>
      </c>
      <c r="BO39" s="179">
        <v>2775798697.1648517</v>
      </c>
      <c r="BP39" s="179">
        <v>3073414677.8438549</v>
      </c>
    </row>
    <row r="40" spans="1:68">
      <c r="A40" s="222" t="s">
        <v>1333</v>
      </c>
      <c r="B40" s="179">
        <f t="shared" si="0"/>
        <v>1</v>
      </c>
      <c r="C40" s="179" t="s">
        <v>580</v>
      </c>
      <c r="D40" s="179" t="s">
        <v>494</v>
      </c>
      <c r="E40" s="179" t="s">
        <v>495</v>
      </c>
      <c r="Z40" s="179">
        <v>142246816.52877709</v>
      </c>
      <c r="AA40" s="179">
        <v>139468210.07378215</v>
      </c>
      <c r="AB40" s="179">
        <v>140630678.18153432</v>
      </c>
      <c r="AC40" s="179">
        <v>138476174.97806954</v>
      </c>
      <c r="AD40" s="179">
        <v>132019039.11087205</v>
      </c>
      <c r="AE40" s="179">
        <v>137728205.31525761</v>
      </c>
      <c r="AF40" s="179">
        <v>190651168.35232836</v>
      </c>
      <c r="AG40" s="179">
        <v>235253063.62768674</v>
      </c>
      <c r="AH40" s="179">
        <v>264308140.28514937</v>
      </c>
      <c r="AI40" s="179">
        <v>267448570.27134773</v>
      </c>
      <c r="AJ40" s="179">
        <v>306890961.18880135</v>
      </c>
      <c r="AK40" s="179">
        <v>319827058.59287477</v>
      </c>
      <c r="AL40" s="179">
        <v>357160985.32741332</v>
      </c>
      <c r="AM40" s="179">
        <v>490417389.68256927</v>
      </c>
      <c r="AN40" s="179">
        <v>406580652.33053684</v>
      </c>
      <c r="AO40" s="179">
        <v>487148993.53310871</v>
      </c>
      <c r="AP40" s="179">
        <v>501979271.86989433</v>
      </c>
      <c r="AQ40" s="179">
        <v>490608657.92497611</v>
      </c>
      <c r="AR40" s="179">
        <v>521910560.52486807</v>
      </c>
      <c r="AS40" s="179">
        <v>592416703.05887806</v>
      </c>
      <c r="AT40" s="179">
        <v>539227277.62641084</v>
      </c>
      <c r="AU40" s="179">
        <v>563090488.85402167</v>
      </c>
      <c r="AV40" s="179">
        <v>620507385.70220566</v>
      </c>
      <c r="AW40" s="179">
        <v>813260468.87383366</v>
      </c>
      <c r="AX40" s="179">
        <v>924940012.85542047</v>
      </c>
      <c r="AY40" s="179">
        <v>972241682.104792</v>
      </c>
      <c r="AZ40" s="179">
        <v>1107571459.0230646</v>
      </c>
      <c r="BA40" s="179">
        <v>1649621735.4134324</v>
      </c>
      <c r="BB40" s="179">
        <v>1959620652.5074551</v>
      </c>
      <c r="BC40" s="179">
        <v>1852334581.4753435</v>
      </c>
      <c r="BD40" s="179">
        <v>1824751459.6930368</v>
      </c>
      <c r="BE40" s="179">
        <v>2046817974.9083784</v>
      </c>
      <c r="BF40" s="179">
        <v>1913081206.3205247</v>
      </c>
      <c r="BG40" s="179">
        <v>2028910915.1644647</v>
      </c>
      <c r="BH40" s="179">
        <v>2041930125.4297915</v>
      </c>
      <c r="BI40" s="179">
        <v>1749857628.4071629</v>
      </c>
      <c r="BJ40" s="179">
        <v>1849789992.7432771</v>
      </c>
      <c r="BK40" s="179">
        <v>1996741544.6154883</v>
      </c>
      <c r="BL40" s="179">
        <v>2205099509.1592102</v>
      </c>
      <c r="BM40" s="179">
        <v>2266752197.4261708</v>
      </c>
      <c r="BN40" s="179">
        <v>1878277311.2252951</v>
      </c>
      <c r="BO40" s="179">
        <v>2091741774.1077161</v>
      </c>
      <c r="BP40" s="179">
        <v>2314816792.0629125</v>
      </c>
    </row>
    <row r="41" spans="1:68">
      <c r="A41" s="179" t="s">
        <v>720</v>
      </c>
      <c r="B41" s="179">
        <f t="shared" si="0"/>
        <v>0</v>
      </c>
      <c r="C41" s="179" t="s">
        <v>721</v>
      </c>
      <c r="D41" s="179" t="s">
        <v>494</v>
      </c>
      <c r="E41" s="179" t="s">
        <v>495</v>
      </c>
      <c r="F41" s="179">
        <v>637142865.71428573</v>
      </c>
      <c r="G41" s="179">
        <v>642857134.28571427</v>
      </c>
      <c r="H41" s="179">
        <v>660000008.57142854</v>
      </c>
      <c r="I41" s="179">
        <v>728571437.14285719</v>
      </c>
      <c r="J41" s="179">
        <v>782857128.57142854</v>
      </c>
      <c r="K41" s="179">
        <v>868571428.57142854</v>
      </c>
      <c r="L41" s="179">
        <v>914285714.28571427</v>
      </c>
      <c r="M41" s="179">
        <v>962857134.28571427</v>
      </c>
      <c r="N41" s="179">
        <v>1065714248.5714285</v>
      </c>
      <c r="O41" s="179">
        <v>978873232.39436615</v>
      </c>
      <c r="P41" s="179">
        <v>718401157.73709762</v>
      </c>
      <c r="Q41" s="179">
        <v>969911421.39418042</v>
      </c>
      <c r="R41" s="179">
        <v>505549441.37507671</v>
      </c>
      <c r="S41" s="179">
        <v>702899155.98203349</v>
      </c>
      <c r="T41" s="179">
        <v>588443893.68977308</v>
      </c>
      <c r="AM41" s="179">
        <v>2533727592.0416512</v>
      </c>
      <c r="AN41" s="179">
        <v>2791435272.26653</v>
      </c>
      <c r="AO41" s="179">
        <v>3441205692.9165983</v>
      </c>
      <c r="AP41" s="179">
        <v>3506695719.572588</v>
      </c>
      <c r="AQ41" s="179">
        <v>3443413388.6909003</v>
      </c>
      <c r="AR41" s="179">
        <v>3120425502.5825348</v>
      </c>
      <c r="AS41" s="179">
        <v>3517242477.2285037</v>
      </c>
      <c r="AT41" s="179">
        <v>3654031716.2688117</v>
      </c>
      <c r="AU41" s="179">
        <v>3984000517.0234456</v>
      </c>
      <c r="AV41" s="179">
        <v>4284028482.5376568</v>
      </c>
      <c r="AW41" s="179">
        <v>4658246918.2709227</v>
      </c>
      <c r="AX41" s="179">
        <v>5337833248.0392399</v>
      </c>
      <c r="AY41" s="179">
        <v>6293046161.8326206</v>
      </c>
      <c r="AZ41" s="179">
        <v>7274595706.6715412</v>
      </c>
      <c r="BA41" s="179">
        <v>8639235913.1774597</v>
      </c>
      <c r="BB41" s="179">
        <v>10351914178.285706</v>
      </c>
      <c r="BC41" s="179">
        <v>10401851766.846521</v>
      </c>
      <c r="BD41" s="179">
        <v>11242275288.524256</v>
      </c>
      <c r="BE41" s="179">
        <v>12829541141.01269</v>
      </c>
      <c r="BF41" s="179">
        <v>14054443213.463923</v>
      </c>
      <c r="BG41" s="179">
        <v>15227991395.220064</v>
      </c>
      <c r="BH41" s="179">
        <v>16702610842.402477</v>
      </c>
      <c r="BI41" s="179">
        <v>18049954289.422901</v>
      </c>
      <c r="BJ41" s="179">
        <v>20016747858.312168</v>
      </c>
      <c r="BK41" s="179">
        <v>22177200588.674942</v>
      </c>
      <c r="BL41" s="179">
        <v>24571753581.784077</v>
      </c>
      <c r="BM41" s="179">
        <v>27089390032.891483</v>
      </c>
      <c r="BN41" s="179">
        <v>25872797892.028503</v>
      </c>
      <c r="BO41" s="179">
        <v>26961061152.297871</v>
      </c>
      <c r="BP41" s="179">
        <v>29956769529.427994</v>
      </c>
    </row>
    <row r="42" spans="1:68">
      <c r="A42" s="179" t="s">
        <v>572</v>
      </c>
      <c r="B42" s="179">
        <f t="shared" si="0"/>
        <v>1</v>
      </c>
      <c r="C42" s="179" t="s">
        <v>573</v>
      </c>
      <c r="D42" s="179" t="s">
        <v>494</v>
      </c>
      <c r="E42" s="179" t="s">
        <v>495</v>
      </c>
      <c r="F42" s="179">
        <v>614206067.49938893</v>
      </c>
      <c r="G42" s="179">
        <v>652777609.32880259</v>
      </c>
      <c r="H42" s="179">
        <v>694247865.267079</v>
      </c>
      <c r="I42" s="179">
        <v>718320845.93536234</v>
      </c>
      <c r="J42" s="179">
        <v>776650176.65391779</v>
      </c>
      <c r="K42" s="179">
        <v>814083264.8214277</v>
      </c>
      <c r="L42" s="179">
        <v>851112536.08510518</v>
      </c>
      <c r="M42" s="179">
        <v>936175260.8252151</v>
      </c>
      <c r="N42" s="179">
        <v>1046191218.8265252</v>
      </c>
      <c r="O42" s="179">
        <v>1100551487.1399179</v>
      </c>
      <c r="P42" s="179">
        <v>1151216992.7691362</v>
      </c>
      <c r="Q42" s="179">
        <v>1236941395.5280006</v>
      </c>
      <c r="R42" s="179">
        <v>1498251886.9125218</v>
      </c>
      <c r="S42" s="179">
        <v>1901393360.5687566</v>
      </c>
      <c r="T42" s="179">
        <v>2157415535.7941222</v>
      </c>
      <c r="U42" s="179">
        <v>2857037366.5100164</v>
      </c>
      <c r="V42" s="179">
        <v>2898089998.6171985</v>
      </c>
      <c r="W42" s="179">
        <v>3394664030.0438385</v>
      </c>
      <c r="X42" s="179">
        <v>4662852578.2981796</v>
      </c>
      <c r="Y42" s="179">
        <v>5919002975.3013277</v>
      </c>
      <c r="Z42" s="179">
        <v>6674569033.5821791</v>
      </c>
      <c r="AA42" s="179">
        <v>6610938627.6043673</v>
      </c>
      <c r="AB42" s="179">
        <v>6611255969.8918886</v>
      </c>
      <c r="AC42" s="179">
        <v>6870200009.4566307</v>
      </c>
      <c r="AD42" s="179">
        <v>7311938029.9145546</v>
      </c>
      <c r="AE42" s="179">
        <v>8544810503.4740286</v>
      </c>
      <c r="AF42" s="179">
        <v>11857056214.330095</v>
      </c>
      <c r="AG42" s="179">
        <v>13049659963.704678</v>
      </c>
      <c r="AH42" s="179">
        <v>12236057369.911959</v>
      </c>
      <c r="AI42" s="179">
        <v>11012566178.182518</v>
      </c>
      <c r="AJ42" s="179">
        <v>12314482629.908155</v>
      </c>
      <c r="AK42" s="179">
        <v>11840192304.413246</v>
      </c>
      <c r="AL42" s="179">
        <v>12071775346.418661</v>
      </c>
      <c r="AM42" s="179">
        <v>16181814683.955118</v>
      </c>
      <c r="AN42" s="179">
        <v>8902446257.7044525</v>
      </c>
      <c r="AO42" s="179">
        <v>10864772473.052423</v>
      </c>
      <c r="AP42" s="179">
        <v>11093538840.538464</v>
      </c>
      <c r="AQ42" s="179">
        <v>10789458426.108828</v>
      </c>
      <c r="AR42" s="179">
        <v>11298144998.696455</v>
      </c>
      <c r="AS42" s="179">
        <v>11565826458.894493</v>
      </c>
      <c r="AT42" s="179">
        <v>10566579294.516369</v>
      </c>
      <c r="AU42" s="179">
        <v>10953485345.221582</v>
      </c>
      <c r="AV42" s="179">
        <v>12417251341.603222</v>
      </c>
      <c r="AW42" s="179">
        <v>15970315030.240648</v>
      </c>
      <c r="AX42" s="179">
        <v>18826214125.232536</v>
      </c>
      <c r="AY42" s="179">
        <v>19509852219.329796</v>
      </c>
      <c r="AZ42" s="179">
        <v>20910512978.171627</v>
      </c>
      <c r="BA42" s="179">
        <v>23928250410.058796</v>
      </c>
      <c r="BB42" s="179">
        <v>27715142005.570396</v>
      </c>
      <c r="BC42" s="179">
        <v>27932970297.064392</v>
      </c>
      <c r="BD42" s="179">
        <v>27507501809.241444</v>
      </c>
      <c r="BE42" s="179">
        <v>30630910513.061562</v>
      </c>
      <c r="BF42" s="179">
        <v>30155062302.844303</v>
      </c>
      <c r="BG42" s="179">
        <v>33728621190.211395</v>
      </c>
      <c r="BH42" s="179">
        <v>36386544716.079384</v>
      </c>
      <c r="BI42" s="179">
        <v>32210233021.573498</v>
      </c>
      <c r="BJ42" s="179">
        <v>33814337040.780407</v>
      </c>
      <c r="BK42" s="179">
        <v>36098547058.787704</v>
      </c>
      <c r="BL42" s="179">
        <v>39973842058.565033</v>
      </c>
      <c r="BM42" s="179">
        <v>39670976440.315842</v>
      </c>
      <c r="BN42" s="179">
        <v>40773241211.694084</v>
      </c>
      <c r="BO42" s="179">
        <v>45338285386.104424</v>
      </c>
      <c r="BP42" s="179">
        <v>44341646509.219322</v>
      </c>
    </row>
    <row r="43" spans="1:68">
      <c r="A43" s="179" t="s">
        <v>87</v>
      </c>
      <c r="B43" s="179">
        <f t="shared" si="0"/>
        <v>0</v>
      </c>
      <c r="C43" s="179" t="s">
        <v>562</v>
      </c>
      <c r="D43" s="179" t="s">
        <v>494</v>
      </c>
      <c r="E43" s="179" t="s">
        <v>495</v>
      </c>
      <c r="F43" s="179">
        <v>40462398501.885849</v>
      </c>
      <c r="G43" s="179">
        <v>40935133543.157623</v>
      </c>
      <c r="H43" s="179">
        <v>42227357845.300941</v>
      </c>
      <c r="I43" s="179">
        <v>45029724490.389153</v>
      </c>
      <c r="J43" s="179">
        <v>49377963148.978134</v>
      </c>
      <c r="K43" s="179">
        <v>54515115736.001831</v>
      </c>
      <c r="L43" s="179">
        <v>61086991001.547737</v>
      </c>
      <c r="M43" s="179">
        <v>65668511127.259041</v>
      </c>
      <c r="N43" s="179">
        <v>71830047239.013931</v>
      </c>
      <c r="O43" s="179">
        <v>79148003144.706146</v>
      </c>
      <c r="P43" s="179">
        <v>88192257632.309311</v>
      </c>
      <c r="Q43" s="179">
        <v>99605414680.041962</v>
      </c>
      <c r="R43" s="179">
        <v>113463848873.6236</v>
      </c>
      <c r="S43" s="179">
        <v>131765642644.97198</v>
      </c>
      <c r="T43" s="179">
        <v>160946304010.36496</v>
      </c>
      <c r="U43" s="179">
        <v>174426742591.49753</v>
      </c>
      <c r="V43" s="179">
        <v>207265662814.81503</v>
      </c>
      <c r="W43" s="179">
        <v>212325176304.65448</v>
      </c>
      <c r="X43" s="179">
        <v>219377394594.97525</v>
      </c>
      <c r="Y43" s="179">
        <v>243886024251.83405</v>
      </c>
      <c r="Z43" s="179">
        <v>274770252171.76193</v>
      </c>
      <c r="AA43" s="179">
        <v>307245842970.16663</v>
      </c>
      <c r="AB43" s="179">
        <v>314638903648.75934</v>
      </c>
      <c r="AC43" s="179">
        <v>341862996303.0661</v>
      </c>
      <c r="AD43" s="179">
        <v>356727872422.40796</v>
      </c>
      <c r="AE43" s="179">
        <v>366184030237.79468</v>
      </c>
      <c r="AF43" s="179">
        <v>379014731199.83112</v>
      </c>
      <c r="AG43" s="179">
        <v>433139928035.93146</v>
      </c>
      <c r="AH43" s="179">
        <v>509379677196.07129</v>
      </c>
      <c r="AI43" s="179">
        <v>567225367034.46509</v>
      </c>
      <c r="AJ43" s="179">
        <v>596089064840.24805</v>
      </c>
      <c r="AK43" s="179">
        <v>612513895512.6095</v>
      </c>
      <c r="AL43" s="179">
        <v>594376087449.38831</v>
      </c>
      <c r="AM43" s="179">
        <v>579059001030.92175</v>
      </c>
      <c r="AN43" s="179">
        <v>579944346807.26428</v>
      </c>
      <c r="AO43" s="179">
        <v>605941036992.13318</v>
      </c>
      <c r="AP43" s="179">
        <v>630597987889.28186</v>
      </c>
      <c r="AQ43" s="179">
        <v>654987932556.60547</v>
      </c>
      <c r="AR43" s="179">
        <v>633997734246.94543</v>
      </c>
      <c r="AS43" s="179">
        <v>678409995711.89343</v>
      </c>
      <c r="AT43" s="179">
        <v>744773415931.58704</v>
      </c>
      <c r="AU43" s="179">
        <v>738962729044.52539</v>
      </c>
      <c r="AV43" s="179">
        <v>760649334098.00549</v>
      </c>
      <c r="AW43" s="179">
        <v>895540646634.78699</v>
      </c>
      <c r="AX43" s="179">
        <v>1026690238278.2476</v>
      </c>
      <c r="AY43" s="179">
        <v>1173108598778.6763</v>
      </c>
      <c r="AZ43" s="179">
        <v>1319264809590.9731</v>
      </c>
      <c r="BA43" s="179">
        <v>1468820407783.2603</v>
      </c>
      <c r="BB43" s="179">
        <v>1552989690721.6497</v>
      </c>
      <c r="BC43" s="179">
        <v>1374625142157.2915</v>
      </c>
      <c r="BD43" s="179">
        <v>1617343367486.2585</v>
      </c>
      <c r="BE43" s="179">
        <v>1793326630174.5186</v>
      </c>
      <c r="BF43" s="179">
        <v>1828366481521.5952</v>
      </c>
      <c r="BG43" s="179">
        <v>1846597421834.9834</v>
      </c>
      <c r="BH43" s="179">
        <v>1805749878439.9412</v>
      </c>
      <c r="BI43" s="179">
        <v>1556508816217.1401</v>
      </c>
      <c r="BJ43" s="179">
        <v>1527994741907.425</v>
      </c>
      <c r="BK43" s="179">
        <v>1649265644244.095</v>
      </c>
      <c r="BL43" s="179">
        <v>1725297938435.7603</v>
      </c>
      <c r="BM43" s="179">
        <v>1743725183672.5212</v>
      </c>
      <c r="BN43" s="179">
        <v>1647598402302.6787</v>
      </c>
      <c r="BO43" s="179">
        <v>2001486745423.9233</v>
      </c>
      <c r="BP43" s="179">
        <v>2139840023673.811</v>
      </c>
    </row>
    <row r="44" spans="1:68">
      <c r="A44" s="179" t="s">
        <v>583</v>
      </c>
      <c r="B44" s="179">
        <f t="shared" si="0"/>
        <v>0</v>
      </c>
      <c r="C44" s="179" t="s">
        <v>584</v>
      </c>
      <c r="D44" s="179" t="s">
        <v>494</v>
      </c>
      <c r="E44" s="179" t="s">
        <v>495</v>
      </c>
      <c r="F44" s="179">
        <v>1880325752.2769554</v>
      </c>
      <c r="G44" s="179">
        <v>2038322827.2831333</v>
      </c>
      <c r="H44" s="179">
        <v>2153917654.8721371</v>
      </c>
      <c r="I44" s="179">
        <v>2290336890.9231329</v>
      </c>
      <c r="J44" s="179">
        <v>2470289708.5394812</v>
      </c>
      <c r="K44" s="179">
        <v>2661014415.8630834</v>
      </c>
      <c r="L44" s="179">
        <v>2888723567.1039295</v>
      </c>
      <c r="M44" s="179">
        <v>3102559321.5937171</v>
      </c>
      <c r="N44" s="179">
        <v>3083639279.1631451</v>
      </c>
      <c r="O44" s="179">
        <v>3359755873.6523628</v>
      </c>
      <c r="P44" s="179">
        <v>3695311705.1814895</v>
      </c>
      <c r="Q44" s="179">
        <v>4017469942.9706383</v>
      </c>
      <c r="R44" s="179">
        <v>4639346339.9348049</v>
      </c>
      <c r="S44" s="179">
        <v>5076128906.8503313</v>
      </c>
      <c r="T44" s="179">
        <v>6595536763.8741245</v>
      </c>
      <c r="U44" s="179">
        <v>7706927757.5883617</v>
      </c>
      <c r="V44" s="179">
        <v>7932366003.3472271</v>
      </c>
      <c r="W44" s="179">
        <v>9210519153.4788609</v>
      </c>
      <c r="X44" s="179">
        <v>9433730362.323307</v>
      </c>
      <c r="Y44" s="179">
        <v>10835454135.430513</v>
      </c>
      <c r="Z44" s="179">
        <v>13495237652.20249</v>
      </c>
      <c r="AA44" s="179">
        <v>14890283926.40851</v>
      </c>
      <c r="AB44" s="179">
        <v>16517790345.786825</v>
      </c>
      <c r="AC44" s="179">
        <v>16735543669.624264</v>
      </c>
      <c r="AD44" s="179">
        <v>15982824810.112768</v>
      </c>
      <c r="AE44" s="179">
        <v>15814763265.96315</v>
      </c>
      <c r="AF44" s="179">
        <v>14441261965.780909</v>
      </c>
      <c r="AG44" s="179">
        <v>15521767449.363405</v>
      </c>
      <c r="AH44" s="179">
        <v>16459954911.607769</v>
      </c>
      <c r="AI44" s="179">
        <v>16872865240.850355</v>
      </c>
      <c r="AJ44" s="179">
        <v>18149076125.768444</v>
      </c>
      <c r="AK44" s="179">
        <v>18032792661.637135</v>
      </c>
      <c r="AL44" s="179">
        <v>17750354024.322315</v>
      </c>
      <c r="AM44" s="179">
        <v>19224165269.235394</v>
      </c>
      <c r="AN44" s="179">
        <v>20205168289.82703</v>
      </c>
      <c r="AO44" s="179">
        <v>22270861759.544807</v>
      </c>
      <c r="AP44" s="179">
        <v>24291634283.2029</v>
      </c>
      <c r="AQ44" s="179">
        <v>28416253263.307064</v>
      </c>
      <c r="AR44" s="179">
        <v>30354024137.654743</v>
      </c>
      <c r="AS44" s="179">
        <v>32186912968.843258</v>
      </c>
      <c r="AT44" s="179">
        <v>34533836399.502869</v>
      </c>
      <c r="AU44" s="179">
        <v>35575792426.039047</v>
      </c>
      <c r="AV44" s="179">
        <v>37324429141.845955</v>
      </c>
      <c r="AW44" s="179">
        <v>39887632895.123985</v>
      </c>
      <c r="AX44" s="179">
        <v>43625669537.959648</v>
      </c>
      <c r="AY44" s="179">
        <v>49307227387.136299</v>
      </c>
      <c r="AZ44" s="179">
        <v>56074290119.342987</v>
      </c>
      <c r="BA44" s="179">
        <v>62328938789.320938</v>
      </c>
      <c r="BB44" s="179">
        <v>70781391356.035629</v>
      </c>
      <c r="BC44" s="179">
        <v>59840574173.76149</v>
      </c>
      <c r="BD44" s="179">
        <v>64939019150.204788</v>
      </c>
      <c r="BE44" s="179">
        <v>70074558334.330963</v>
      </c>
      <c r="BF44" s="179">
        <v>73844945660.746338</v>
      </c>
      <c r="BG44" s="179">
        <v>75227025825.655014</v>
      </c>
      <c r="BH44" s="179">
        <v>76921753855.80632</v>
      </c>
      <c r="BI44" s="179">
        <v>75480329446.946289</v>
      </c>
      <c r="BJ44" s="179">
        <v>70977854236.846985</v>
      </c>
      <c r="BK44" s="179">
        <v>73482494257.102875</v>
      </c>
      <c r="BL44" s="179">
        <v>76247249561.298065</v>
      </c>
      <c r="BM44" s="179">
        <v>77282796215.9198</v>
      </c>
      <c r="BN44" s="179">
        <v>65994922945.392448</v>
      </c>
      <c r="BO44" s="179">
        <v>75672802626.704361</v>
      </c>
      <c r="BP44" s="179">
        <v>92935645972.957382</v>
      </c>
    </row>
    <row r="45" spans="1:68">
      <c r="A45" s="179" t="s">
        <v>589</v>
      </c>
      <c r="B45" s="179">
        <f t="shared" si="0"/>
        <v>0</v>
      </c>
      <c r="C45" s="179" t="s">
        <v>590</v>
      </c>
      <c r="D45" s="179" t="s">
        <v>494</v>
      </c>
      <c r="E45" s="179" t="s">
        <v>495</v>
      </c>
      <c r="AZ45" s="179">
        <v>4200288282.1015687</v>
      </c>
      <c r="BA45" s="179">
        <v>4466278030.5916739</v>
      </c>
      <c r="BB45" s="179">
        <v>4585948969.3322334</v>
      </c>
      <c r="BC45" s="179">
        <v>4281714618.0323763</v>
      </c>
      <c r="BD45" s="179">
        <v>4156841163.777627</v>
      </c>
      <c r="BE45" s="179">
        <v>4186073160.1825328</v>
      </c>
      <c r="BF45" s="179">
        <v>4291004485.5680346</v>
      </c>
      <c r="BG45" s="179">
        <v>4405796081.1598406</v>
      </c>
      <c r="BH45" s="179">
        <v>4562853582.324625</v>
      </c>
      <c r="BI45" s="179">
        <v>4708167255.2872686</v>
      </c>
      <c r="BJ45" s="179">
        <v>4909322200.0021238</v>
      </c>
      <c r="BK45" s="179">
        <v>5166281293.1871529</v>
      </c>
      <c r="BL45" s="179">
        <v>5530178498.9078274</v>
      </c>
      <c r="BM45" s="179">
        <v>5941896599.5733261</v>
      </c>
      <c r="BN45" s="179">
        <v>5647224973.038785</v>
      </c>
      <c r="BO45" s="179">
        <v>6028373541.4743385</v>
      </c>
    </row>
    <row r="46" spans="1:68">
      <c r="A46" s="179" t="s">
        <v>560</v>
      </c>
      <c r="B46" s="179">
        <f t="shared" si="0"/>
        <v>1</v>
      </c>
      <c r="C46" s="179" t="s">
        <v>561</v>
      </c>
      <c r="D46" s="179" t="s">
        <v>494</v>
      </c>
      <c r="E46" s="179" t="s">
        <v>495</v>
      </c>
      <c r="F46" s="179">
        <v>112155598.30994262</v>
      </c>
      <c r="G46" s="179">
        <v>123134583.65375835</v>
      </c>
      <c r="H46" s="179">
        <v>124482773.99231553</v>
      </c>
      <c r="I46" s="179">
        <v>129379123.92353582</v>
      </c>
      <c r="J46" s="179">
        <v>142025078.68993855</v>
      </c>
      <c r="K46" s="179">
        <v>150574795.28223953</v>
      </c>
      <c r="L46" s="179">
        <v>157930018.37544778</v>
      </c>
      <c r="M46" s="179">
        <v>163820513.70142522</v>
      </c>
      <c r="N46" s="179">
        <v>191767441.79284662</v>
      </c>
      <c r="O46" s="179">
        <v>188039209.87631708</v>
      </c>
      <c r="P46" s="179">
        <v>189106529.18864462</v>
      </c>
      <c r="Q46" s="179">
        <v>201450800.05656132</v>
      </c>
      <c r="R46" s="179">
        <v>230317882.94163346</v>
      </c>
      <c r="S46" s="179">
        <v>271183081.97830194</v>
      </c>
      <c r="T46" s="179">
        <v>281398705.99400312</v>
      </c>
      <c r="U46" s="179">
        <v>378660015.66305155</v>
      </c>
      <c r="V46" s="179">
        <v>451152460.80853748</v>
      </c>
      <c r="W46" s="179">
        <v>507298148.42150623</v>
      </c>
      <c r="X46" s="179">
        <v>610578631.35994279</v>
      </c>
      <c r="Y46" s="179">
        <v>700764746.89211905</v>
      </c>
      <c r="Z46" s="179">
        <v>797048196.97040796</v>
      </c>
      <c r="AA46" s="179">
        <v>694803624.04875684</v>
      </c>
      <c r="AB46" s="179">
        <v>748312391.44207501</v>
      </c>
      <c r="AC46" s="179">
        <v>658679332.63876092</v>
      </c>
      <c r="AD46" s="179">
        <v>637820670.60904586</v>
      </c>
      <c r="AE46" s="179">
        <v>864849836.84136152</v>
      </c>
      <c r="AF46" s="179">
        <v>1122265014.8637862</v>
      </c>
      <c r="AG46" s="179">
        <v>1200991976.2036412</v>
      </c>
      <c r="AH46" s="179">
        <v>1264899288.2796745</v>
      </c>
      <c r="AI46" s="179">
        <v>1233930279.030019</v>
      </c>
      <c r="AJ46" s="179">
        <v>1440711459.411</v>
      </c>
      <c r="AK46" s="179">
        <v>1377374987.5205169</v>
      </c>
      <c r="AL46" s="179">
        <v>1411917554.4548202</v>
      </c>
      <c r="AM46" s="179">
        <v>1278781259.3011675</v>
      </c>
      <c r="AN46" s="179">
        <v>851174357.309582</v>
      </c>
      <c r="AO46" s="179">
        <v>1115389673.9125004</v>
      </c>
      <c r="AP46" s="179">
        <v>1007791126.5622584</v>
      </c>
      <c r="AQ46" s="179">
        <v>937741512.44757426</v>
      </c>
      <c r="AR46" s="179">
        <v>967338390.36001945</v>
      </c>
      <c r="AS46" s="179">
        <v>999477510.68663239</v>
      </c>
      <c r="AT46" s="179">
        <v>916777282.65116835</v>
      </c>
      <c r="AU46" s="179">
        <v>932648604.4205749</v>
      </c>
      <c r="AV46" s="179">
        <v>996068145.60802054</v>
      </c>
      <c r="AW46" s="179">
        <v>1142315522.1989026</v>
      </c>
      <c r="AX46" s="179">
        <v>1272360516.6202202</v>
      </c>
      <c r="AY46" s="179">
        <v>1337894379.6264896</v>
      </c>
      <c r="AZ46" s="179">
        <v>1461859762.6279109</v>
      </c>
      <c r="BA46" s="179">
        <v>1699811293.2575986</v>
      </c>
      <c r="BB46" s="179">
        <v>1993407886.5640216</v>
      </c>
      <c r="BC46" s="179">
        <v>2067381663.7537796</v>
      </c>
      <c r="BD46" s="179">
        <v>2142591539.4352646</v>
      </c>
      <c r="BE46" s="179">
        <v>2437982706.5749931</v>
      </c>
      <c r="BF46" s="179">
        <v>2510126509.9950099</v>
      </c>
      <c r="BG46" s="179">
        <v>1691544110.6915028</v>
      </c>
      <c r="BH46" s="179">
        <v>1894813389.8817472</v>
      </c>
      <c r="BI46" s="179">
        <v>1695825714.2427018</v>
      </c>
      <c r="BJ46" s="179">
        <v>1825018144.4618673</v>
      </c>
      <c r="BK46" s="179">
        <v>2072349974.15272</v>
      </c>
      <c r="BL46" s="179">
        <v>2220979144.5200796</v>
      </c>
      <c r="BM46" s="179">
        <v>2221301350.7553682</v>
      </c>
      <c r="BN46" s="179">
        <v>2326720902.3574061</v>
      </c>
      <c r="BO46" s="179">
        <v>2516498412.3136091</v>
      </c>
      <c r="BP46" s="179">
        <v>2382618615.3562036</v>
      </c>
    </row>
    <row r="47" spans="1:68">
      <c r="A47" s="179" t="s">
        <v>563</v>
      </c>
      <c r="B47" s="179">
        <f t="shared" si="0"/>
        <v>0</v>
      </c>
      <c r="C47" s="179" t="s">
        <v>564</v>
      </c>
      <c r="D47" s="179" t="s">
        <v>494</v>
      </c>
      <c r="E47" s="179" t="s">
        <v>495</v>
      </c>
      <c r="AJ47" s="179">
        <v>255337810802.76193</v>
      </c>
      <c r="AK47" s="179">
        <v>242591400512.37115</v>
      </c>
      <c r="AL47" s="179">
        <v>260007368667.58395</v>
      </c>
      <c r="AM47" s="179">
        <v>274156327273.20596</v>
      </c>
      <c r="AN47" s="179">
        <v>310993244630.0835</v>
      </c>
      <c r="AO47" s="179">
        <v>393416788946.65973</v>
      </c>
      <c r="AP47" s="179">
        <v>416196157690.06537</v>
      </c>
      <c r="AQ47" s="179">
        <v>410169715860.14783</v>
      </c>
      <c r="AR47" s="179">
        <v>448894610521.33051</v>
      </c>
      <c r="AS47" s="179">
        <v>435065044494.68524</v>
      </c>
      <c r="AT47" s="179">
        <v>428593201404.54437</v>
      </c>
      <c r="AU47" s="179">
        <v>468615587873.48389</v>
      </c>
      <c r="AV47" s="179">
        <v>528073833481.43927</v>
      </c>
      <c r="AW47" s="179">
        <v>634392770405.70215</v>
      </c>
      <c r="AX47" s="179">
        <v>763090766153.59326</v>
      </c>
      <c r="AY47" s="179">
        <v>886071848815.60059</v>
      </c>
      <c r="AZ47" s="179">
        <v>1001568223853.4852</v>
      </c>
      <c r="BA47" s="179">
        <v>1265418819111.2629</v>
      </c>
      <c r="BB47" s="179">
        <v>1530535154238.875</v>
      </c>
      <c r="BC47" s="179">
        <v>1289701858873.6423</v>
      </c>
      <c r="BD47" s="179">
        <v>1316398490312.2764</v>
      </c>
      <c r="BE47" s="179">
        <v>1454558246006.2261</v>
      </c>
      <c r="BF47" s="179">
        <v>1358875109415.3406</v>
      </c>
      <c r="BG47" s="179">
        <v>1417323424010.0364</v>
      </c>
      <c r="BH47" s="179">
        <v>1463549880656.8037</v>
      </c>
      <c r="BI47" s="179">
        <v>1293370353419.5264</v>
      </c>
      <c r="BJ47" s="179">
        <v>1316495750803.6484</v>
      </c>
      <c r="BK47" s="179">
        <v>1461216063229.7908</v>
      </c>
      <c r="BL47" s="179">
        <v>1648513132166.1562</v>
      </c>
      <c r="BM47" s="179">
        <v>1674114230083.2529</v>
      </c>
      <c r="BN47" s="179">
        <v>1665358949113.7229</v>
      </c>
      <c r="BO47" s="179">
        <v>1905555039662.6404</v>
      </c>
      <c r="BP47" s="179">
        <v>1946330897134.1575</v>
      </c>
    </row>
    <row r="48" spans="1:68">
      <c r="A48" s="179" t="s">
        <v>922</v>
      </c>
      <c r="B48" s="179">
        <f t="shared" si="0"/>
        <v>1</v>
      </c>
      <c r="C48" s="179" t="s">
        <v>923</v>
      </c>
      <c r="D48" s="179" t="s">
        <v>494</v>
      </c>
      <c r="E48" s="179" t="s">
        <v>495</v>
      </c>
      <c r="F48" s="179">
        <v>313582727.63810849</v>
      </c>
      <c r="G48" s="179">
        <v>333975336.6265958</v>
      </c>
      <c r="H48" s="179">
        <v>357635713.87685776</v>
      </c>
      <c r="I48" s="179">
        <v>371767002.65603614</v>
      </c>
      <c r="J48" s="179">
        <v>392247517.60194892</v>
      </c>
      <c r="K48" s="179">
        <v>416926302.96349508</v>
      </c>
      <c r="L48" s="179">
        <v>432794922.45975757</v>
      </c>
      <c r="M48" s="179">
        <v>449826322.99510705</v>
      </c>
      <c r="N48" s="179">
        <v>453980096.65440989</v>
      </c>
      <c r="O48" s="179">
        <v>471635620.924366</v>
      </c>
      <c r="P48" s="179">
        <v>469266736.60510057</v>
      </c>
      <c r="Q48" s="179">
        <v>501866730.72250277</v>
      </c>
      <c r="R48" s="179">
        <v>585427545.72359848</v>
      </c>
      <c r="S48" s="179">
        <v>647199482.82798243</v>
      </c>
      <c r="T48" s="179">
        <v>652532796.06664038</v>
      </c>
      <c r="U48" s="179">
        <v>864602103.30307376</v>
      </c>
      <c r="V48" s="179">
        <v>866044961.04835379</v>
      </c>
      <c r="W48" s="179">
        <v>935360466.35148823</v>
      </c>
      <c r="X48" s="179">
        <v>1113920122.6123292</v>
      </c>
      <c r="Y48" s="179">
        <v>1004316495.1117549</v>
      </c>
      <c r="Z48" s="179">
        <v>1033002401.8254334</v>
      </c>
      <c r="AA48" s="179">
        <v>876937559.72495079</v>
      </c>
      <c r="AB48" s="179">
        <v>834369860.42731726</v>
      </c>
      <c r="AC48" s="179">
        <v>832415805.95626545</v>
      </c>
      <c r="AD48" s="179">
        <v>919103735.32290411</v>
      </c>
      <c r="AE48" s="179">
        <v>1033069709.9950572</v>
      </c>
      <c r="AF48" s="179">
        <v>1067828247.2357877</v>
      </c>
      <c r="AG48" s="179">
        <v>1163426850.6502371</v>
      </c>
      <c r="AH48" s="179">
        <v>1482597298.8872888</v>
      </c>
      <c r="AI48" s="179">
        <v>1433686309.83641</v>
      </c>
      <c r="AJ48" s="179">
        <v>1738605558.0543621</v>
      </c>
      <c r="AK48" s="179">
        <v>1877137983.0292327</v>
      </c>
      <c r="AL48" s="179">
        <v>1881847671.4712155</v>
      </c>
      <c r="AM48" s="179">
        <v>1463251161.3349447</v>
      </c>
      <c r="AN48" s="179">
        <v>1179837963.9537878</v>
      </c>
      <c r="AO48" s="179">
        <v>1445919894.8624909</v>
      </c>
      <c r="AP48" s="179">
        <v>1607345354.9267132</v>
      </c>
      <c r="AQ48" s="179">
        <v>1544689575.9918559</v>
      </c>
      <c r="AR48" s="179">
        <v>1744794532.4936378</v>
      </c>
      <c r="AS48" s="179">
        <v>1534673583.2487004</v>
      </c>
      <c r="AT48" s="179">
        <v>1388506771.5262322</v>
      </c>
      <c r="AU48" s="179">
        <v>1710843376.3933096</v>
      </c>
      <c r="AV48" s="179">
        <v>1997005710.2655532</v>
      </c>
      <c r="AW48" s="179">
        <v>2742815070.7586651</v>
      </c>
      <c r="AX48" s="179">
        <v>4422855658.3804321</v>
      </c>
      <c r="AY48" s="179">
        <v>6649307528.062376</v>
      </c>
      <c r="AZ48" s="179">
        <v>7428701455.4056492</v>
      </c>
      <c r="BA48" s="179">
        <v>8650137734.7163715</v>
      </c>
      <c r="BB48" s="179">
        <v>10393833755.279123</v>
      </c>
      <c r="BC48" s="179">
        <v>9290728312.2438297</v>
      </c>
      <c r="BD48" s="179">
        <v>10668103549.312336</v>
      </c>
      <c r="BE48" s="179">
        <v>12172308858.299326</v>
      </c>
      <c r="BF48" s="179">
        <v>12367362746.130699</v>
      </c>
      <c r="BG48" s="179">
        <v>12953534870.304037</v>
      </c>
      <c r="BH48" s="179">
        <v>13940767222.105333</v>
      </c>
      <c r="BI48" s="179">
        <v>10950392257.27639</v>
      </c>
      <c r="BJ48" s="179">
        <v>10097778097.096865</v>
      </c>
      <c r="BK48" s="179">
        <v>10000394388.115839</v>
      </c>
      <c r="BL48" s="179">
        <v>11239167890.281643</v>
      </c>
      <c r="BM48" s="179">
        <v>11314951088.245092</v>
      </c>
      <c r="BN48" s="179">
        <v>10715396051.438772</v>
      </c>
      <c r="BO48" s="179">
        <v>11779981332.159912</v>
      </c>
      <c r="BP48" s="179">
        <v>12704149842.037258</v>
      </c>
    </row>
    <row r="49" spans="1:68">
      <c r="A49" s="179" t="s">
        <v>566</v>
      </c>
      <c r="B49" s="179">
        <f t="shared" si="0"/>
        <v>0</v>
      </c>
      <c r="C49" s="179" t="s">
        <v>567</v>
      </c>
      <c r="D49" s="179" t="s">
        <v>494</v>
      </c>
      <c r="E49" s="179" t="s">
        <v>495</v>
      </c>
      <c r="AR49" s="179">
        <v>5945677376.6147728</v>
      </c>
      <c r="AS49" s="179">
        <v>6262740656.8516426</v>
      </c>
      <c r="AT49" s="179">
        <v>6439703434.7102432</v>
      </c>
      <c r="AU49" s="179">
        <v>6232906290.4851017</v>
      </c>
      <c r="AV49" s="179">
        <v>6663669064.7482014</v>
      </c>
      <c r="AW49" s="179">
        <v>7332244897.9591827</v>
      </c>
      <c r="AX49" s="179">
        <v>8553643354.0827532</v>
      </c>
      <c r="AY49" s="179">
        <v>8827272727.2727261</v>
      </c>
      <c r="AZ49" s="179">
        <v>9676172953.0818768</v>
      </c>
      <c r="BA49" s="179">
        <v>11514605842.336935</v>
      </c>
      <c r="BJ49" s="179">
        <v>9511207129.3545761</v>
      </c>
      <c r="BK49" s="179">
        <v>9530244530.2445297</v>
      </c>
      <c r="BL49" s="179">
        <v>10422948632.421614</v>
      </c>
      <c r="BM49" s="179">
        <v>10381669645.136585</v>
      </c>
      <c r="BN49" s="179">
        <v>9811538461.5384617</v>
      </c>
      <c r="BO49" s="179">
        <v>11735662219.777197</v>
      </c>
    </row>
    <row r="50" spans="1:68">
      <c r="A50" s="179" t="s">
        <v>568</v>
      </c>
      <c r="B50" s="179">
        <f t="shared" si="0"/>
        <v>0</v>
      </c>
      <c r="C50" s="179" t="s">
        <v>569</v>
      </c>
      <c r="D50" s="179" t="s">
        <v>494</v>
      </c>
      <c r="E50" s="179" t="s">
        <v>495</v>
      </c>
      <c r="F50" s="179">
        <v>4109999999.9999995</v>
      </c>
      <c r="G50" s="179">
        <v>4828612639.178937</v>
      </c>
      <c r="H50" s="179">
        <v>5633224652.5909061</v>
      </c>
      <c r="I50" s="179">
        <v>5592044870.5158043</v>
      </c>
      <c r="J50" s="179">
        <v>5963077661.5630493</v>
      </c>
      <c r="K50" s="179">
        <v>6109341260.4630136</v>
      </c>
      <c r="L50" s="179">
        <v>7162377224.6391697</v>
      </c>
      <c r="M50" s="179">
        <v>7057104134.4901772</v>
      </c>
      <c r="N50" s="179">
        <v>7191615669.9946775</v>
      </c>
      <c r="O50" s="179">
        <v>8360001925.6063375</v>
      </c>
      <c r="P50" s="179">
        <v>9144514527.222578</v>
      </c>
      <c r="Q50" s="179">
        <v>10876408930.358274</v>
      </c>
      <c r="R50" s="179">
        <v>11833776659.227205</v>
      </c>
      <c r="S50" s="179">
        <v>16826412445.339376</v>
      </c>
      <c r="T50" s="179">
        <v>16209686087.62693</v>
      </c>
      <c r="U50" s="179">
        <v>7621570579.550271</v>
      </c>
      <c r="V50" s="179">
        <v>10338624283.434381</v>
      </c>
      <c r="W50" s="179">
        <v>13965594906.164165</v>
      </c>
      <c r="X50" s="179">
        <v>15992038366.809713</v>
      </c>
      <c r="Y50" s="179">
        <v>21806136150.352406</v>
      </c>
      <c r="Z50" s="179">
        <v>29036709871.794872</v>
      </c>
      <c r="AA50" s="179">
        <v>34509878043.589745</v>
      </c>
      <c r="AB50" s="179">
        <v>25326722339.499115</v>
      </c>
      <c r="AC50" s="179">
        <v>20356389841.558617</v>
      </c>
      <c r="AD50" s="179">
        <v>19623025627.173717</v>
      </c>
      <c r="AE50" s="179">
        <v>17702885393.51902</v>
      </c>
      <c r="AF50" s="179">
        <v>18891048818.775158</v>
      </c>
      <c r="AG50" s="179">
        <v>22255745799.732578</v>
      </c>
      <c r="AH50" s="179">
        <v>26040052657.08432</v>
      </c>
      <c r="AI50" s="179">
        <v>29885218681.983452</v>
      </c>
      <c r="AJ50" s="179">
        <v>33113525803.806705</v>
      </c>
      <c r="AK50" s="179">
        <v>37835245155.932732</v>
      </c>
      <c r="AL50" s="179">
        <v>45964855773.987556</v>
      </c>
      <c r="AM50" s="179">
        <v>49298281355.631699</v>
      </c>
      <c r="AN50" s="179">
        <v>57008877553.410027</v>
      </c>
      <c r="AO50" s="179">
        <v>73446446283.016388</v>
      </c>
      <c r="AP50" s="179">
        <v>78575020639.472778</v>
      </c>
      <c r="AQ50" s="179">
        <v>85728899954.448975</v>
      </c>
      <c r="AR50" s="179">
        <v>81995749804.41571</v>
      </c>
      <c r="AS50" s="179">
        <v>75596598517.358582</v>
      </c>
      <c r="AT50" s="179">
        <v>78249883995.625504</v>
      </c>
      <c r="AU50" s="179">
        <v>71517267767.736008</v>
      </c>
      <c r="AV50" s="179">
        <v>70295232513.051483</v>
      </c>
      <c r="AW50" s="179">
        <v>76507853875.664856</v>
      </c>
      <c r="AX50" s="179">
        <v>99079365628.333282</v>
      </c>
      <c r="AY50" s="179">
        <v>122314960843.9218</v>
      </c>
      <c r="AZ50" s="179">
        <v>153840051814.05875</v>
      </c>
      <c r="BA50" s="179">
        <v>172565861848.89862</v>
      </c>
      <c r="BB50" s="179">
        <v>179663390874.65265</v>
      </c>
      <c r="BC50" s="179">
        <v>171412643623.96301</v>
      </c>
      <c r="BD50" s="179">
        <v>217105434199.50043</v>
      </c>
      <c r="BE50" s="179">
        <v>251224856981.29395</v>
      </c>
      <c r="BF50" s="179">
        <v>267175870677.6586</v>
      </c>
      <c r="BG50" s="179">
        <v>277239473853.80658</v>
      </c>
      <c r="BH50" s="179">
        <v>259405194672.93539</v>
      </c>
      <c r="BI50" s="179">
        <v>242496655711.51532</v>
      </c>
      <c r="BJ50" s="179">
        <v>249298706449.18231</v>
      </c>
      <c r="BK50" s="179">
        <v>276364936832.33075</v>
      </c>
      <c r="BL50" s="179">
        <v>295402646018.15057</v>
      </c>
      <c r="BM50" s="179">
        <v>278493308134.09631</v>
      </c>
      <c r="BN50" s="179">
        <v>254096103516.32416</v>
      </c>
      <c r="BO50" s="179">
        <v>316713577508.67279</v>
      </c>
      <c r="BP50" s="179">
        <v>301025249437.94666</v>
      </c>
    </row>
    <row r="51" spans="1:68">
      <c r="A51" s="179" t="s">
        <v>77</v>
      </c>
      <c r="B51" s="179">
        <f t="shared" si="0"/>
        <v>0</v>
      </c>
      <c r="C51" s="179" t="s">
        <v>570</v>
      </c>
      <c r="D51" s="179" t="s">
        <v>494</v>
      </c>
      <c r="E51" s="179" t="s">
        <v>495</v>
      </c>
      <c r="F51" s="179">
        <v>59716251765.175552</v>
      </c>
      <c r="G51" s="179">
        <v>50056688014.574402</v>
      </c>
      <c r="H51" s="179">
        <v>47209188355.545219</v>
      </c>
      <c r="I51" s="179">
        <v>50706616610.073219</v>
      </c>
      <c r="J51" s="179">
        <v>59708127657.731812</v>
      </c>
      <c r="K51" s="179">
        <v>70436011537.184143</v>
      </c>
      <c r="L51" s="179">
        <v>76720008644.913315</v>
      </c>
      <c r="M51" s="179">
        <v>72881367877.748428</v>
      </c>
      <c r="N51" s="179">
        <v>70846278963.092758</v>
      </c>
      <c r="O51" s="179">
        <v>79705618130.485992</v>
      </c>
      <c r="P51" s="179">
        <v>92602638697.415619</v>
      </c>
      <c r="Q51" s="179">
        <v>99800597892.565002</v>
      </c>
      <c r="R51" s="179">
        <v>113689285303.37708</v>
      </c>
      <c r="S51" s="179">
        <v>138543203562.72418</v>
      </c>
      <c r="T51" s="179">
        <v>144188964286.50159</v>
      </c>
      <c r="U51" s="179">
        <v>163429496442.80521</v>
      </c>
      <c r="V51" s="179">
        <v>153939238114.51764</v>
      </c>
      <c r="W51" s="179">
        <v>174935897086.30905</v>
      </c>
      <c r="X51" s="179">
        <v>149540752829.26828</v>
      </c>
      <c r="Y51" s="179">
        <v>178280594413.04349</v>
      </c>
      <c r="Z51" s="179">
        <v>191149211575</v>
      </c>
      <c r="AA51" s="179">
        <v>195866382432.53967</v>
      </c>
      <c r="AB51" s="179">
        <v>205089699858.77859</v>
      </c>
      <c r="AC51" s="179">
        <v>230686747153.25671</v>
      </c>
      <c r="AD51" s="179">
        <v>259946510957.14288</v>
      </c>
      <c r="AE51" s="179">
        <v>309488028132.65308</v>
      </c>
      <c r="AF51" s="179">
        <v>300758100107.24634</v>
      </c>
      <c r="AG51" s="179">
        <v>272972974764.57401</v>
      </c>
      <c r="AH51" s="179">
        <v>312353631207.81891</v>
      </c>
      <c r="AI51" s="179">
        <v>347768051311.74084</v>
      </c>
      <c r="AJ51" s="179">
        <v>360857912565.96558</v>
      </c>
      <c r="AK51" s="179">
        <v>383373318083.62366</v>
      </c>
      <c r="AL51" s="179">
        <v>426915712715.85559</v>
      </c>
      <c r="AM51" s="179">
        <v>444731282435.51544</v>
      </c>
      <c r="AN51" s="179">
        <v>564321876346.38721</v>
      </c>
      <c r="AO51" s="179">
        <v>734484863889.35974</v>
      </c>
      <c r="AP51" s="179">
        <v>863749314718.53784</v>
      </c>
      <c r="AQ51" s="179">
        <v>961602019650.61511</v>
      </c>
      <c r="AR51" s="179">
        <v>1029060706187.8765</v>
      </c>
      <c r="AS51" s="179">
        <v>1094010482677.3937</v>
      </c>
      <c r="AT51" s="179">
        <v>1211331627478.9976</v>
      </c>
      <c r="AU51" s="179">
        <v>1339400843164.8811</v>
      </c>
      <c r="AV51" s="179">
        <v>1470557565965.5132</v>
      </c>
      <c r="AW51" s="179">
        <v>1660280610709.71</v>
      </c>
      <c r="AX51" s="179">
        <v>1955346808095.4397</v>
      </c>
      <c r="AY51" s="179">
        <v>2285961242869.5493</v>
      </c>
      <c r="AZ51" s="179">
        <v>2752118542130.4038</v>
      </c>
      <c r="BA51" s="179">
        <v>3550327569655.4697</v>
      </c>
      <c r="BB51" s="179">
        <v>4594336785737.6719</v>
      </c>
      <c r="BC51" s="179">
        <v>5101691085625.9502</v>
      </c>
      <c r="BD51" s="179">
        <v>6087191720866.6865</v>
      </c>
      <c r="BE51" s="179">
        <v>7551545321799.875</v>
      </c>
      <c r="BF51" s="179">
        <v>8532185615746.6201</v>
      </c>
      <c r="BG51" s="179">
        <v>9570470577244.8555</v>
      </c>
      <c r="BH51" s="179">
        <v>10475624783235.588</v>
      </c>
      <c r="BI51" s="179">
        <v>11061573199439.67</v>
      </c>
      <c r="BJ51" s="179">
        <v>11233314018690.053</v>
      </c>
      <c r="BK51" s="179">
        <v>12310491176727.342</v>
      </c>
      <c r="BL51" s="179">
        <v>13894907485398.887</v>
      </c>
      <c r="BM51" s="179">
        <v>14279968485747.98</v>
      </c>
      <c r="BN51" s="179">
        <v>14687743556969.611</v>
      </c>
      <c r="BO51" s="179">
        <v>17820459342451.18</v>
      </c>
      <c r="BP51" s="179">
        <v>17963170521079.832</v>
      </c>
    </row>
    <row r="52" spans="1:68">
      <c r="A52" s="179" t="s">
        <v>576</v>
      </c>
      <c r="B52" s="179">
        <f t="shared" si="0"/>
        <v>0</v>
      </c>
      <c r="C52" s="179" t="s">
        <v>577</v>
      </c>
      <c r="D52" s="179" t="s">
        <v>494</v>
      </c>
      <c r="E52" s="179" t="s">
        <v>495</v>
      </c>
      <c r="F52" s="179">
        <v>4031152977.2465944</v>
      </c>
      <c r="G52" s="179">
        <v>4540447761.8717089</v>
      </c>
      <c r="H52" s="179">
        <v>4955537980.0585079</v>
      </c>
      <c r="I52" s="179">
        <v>4836166666.666667</v>
      </c>
      <c r="J52" s="179">
        <v>5973366666.666667</v>
      </c>
      <c r="K52" s="179">
        <v>5760761904.7619047</v>
      </c>
      <c r="L52" s="179">
        <v>5428518518.5185184</v>
      </c>
      <c r="M52" s="179">
        <v>5825170438.4870434</v>
      </c>
      <c r="N52" s="179">
        <v>5960212869.1296797</v>
      </c>
      <c r="O52" s="179">
        <v>6450175213.7492275</v>
      </c>
      <c r="P52" s="179">
        <v>7198360460.1988707</v>
      </c>
      <c r="Q52" s="179">
        <v>7820380970.5367403</v>
      </c>
      <c r="R52" s="179">
        <v>8671358732.6848583</v>
      </c>
      <c r="S52" s="179">
        <v>10315760000.33939</v>
      </c>
      <c r="T52" s="179">
        <v>12370029583.641897</v>
      </c>
      <c r="U52" s="179">
        <v>13098633901.867271</v>
      </c>
      <c r="V52" s="179">
        <v>15341403660.469809</v>
      </c>
      <c r="W52" s="179">
        <v>19470960619.129715</v>
      </c>
      <c r="X52" s="179">
        <v>23263511958.050903</v>
      </c>
      <c r="Y52" s="179">
        <v>27940411250.27322</v>
      </c>
      <c r="Z52" s="179">
        <v>33400735644.048115</v>
      </c>
      <c r="AA52" s="179">
        <v>36388366869.03093</v>
      </c>
      <c r="AB52" s="179">
        <v>38968039721.748032</v>
      </c>
      <c r="AC52" s="179">
        <v>38729822781.599724</v>
      </c>
      <c r="AD52" s="179">
        <v>38253120737.967117</v>
      </c>
      <c r="AE52" s="179">
        <v>34894419525.281685</v>
      </c>
      <c r="AF52" s="179">
        <v>34942489683.971237</v>
      </c>
      <c r="AG52" s="179">
        <v>36373307085.088745</v>
      </c>
      <c r="AH52" s="179">
        <v>39212550050.422279</v>
      </c>
      <c r="AI52" s="179">
        <v>39540080200.393814</v>
      </c>
      <c r="AJ52" s="179">
        <v>47844090709.990845</v>
      </c>
      <c r="AK52" s="179">
        <v>49637993948.840195</v>
      </c>
      <c r="AL52" s="179">
        <v>58394443348.933167</v>
      </c>
      <c r="AM52" s="179">
        <v>66474101329.354294</v>
      </c>
      <c r="AN52" s="179">
        <v>81705497616.570282</v>
      </c>
      <c r="AO52" s="179">
        <v>92495970511.395065</v>
      </c>
      <c r="AP52" s="179">
        <v>97153389010.946609</v>
      </c>
      <c r="AQ52" s="179">
        <v>106656492324.76929</v>
      </c>
      <c r="AR52" s="179">
        <v>98486358604.178391</v>
      </c>
      <c r="AS52" s="179">
        <v>86278947620.590637</v>
      </c>
      <c r="AT52" s="179">
        <v>99875074935.083038</v>
      </c>
      <c r="AU52" s="179">
        <v>98200641189.156754</v>
      </c>
      <c r="AV52" s="179">
        <v>97945812789.853256</v>
      </c>
      <c r="AW52" s="179">
        <v>94644969146.135178</v>
      </c>
      <c r="AX52" s="179">
        <v>117092416651.3954</v>
      </c>
      <c r="AY52" s="179">
        <v>145600527535.7706</v>
      </c>
      <c r="AZ52" s="179">
        <v>161792959247.8504</v>
      </c>
      <c r="BA52" s="179">
        <v>206229536757.67429</v>
      </c>
      <c r="BB52" s="179">
        <v>242504150472.93127</v>
      </c>
      <c r="BC52" s="179">
        <v>232468666665.15262</v>
      </c>
      <c r="BD52" s="179">
        <v>286498534094.96326</v>
      </c>
      <c r="BE52" s="179">
        <v>334966134865.30542</v>
      </c>
      <c r="BF52" s="179">
        <v>370691143086.76093</v>
      </c>
      <c r="BG52" s="179">
        <v>382093697077.68494</v>
      </c>
      <c r="BH52" s="179">
        <v>381240864422.40662</v>
      </c>
      <c r="BI52" s="179">
        <v>293492370228.84717</v>
      </c>
      <c r="BJ52" s="179">
        <v>282720100286.22815</v>
      </c>
      <c r="BK52" s="179">
        <v>311866875135.57623</v>
      </c>
      <c r="BL52" s="179">
        <v>334198218100.71594</v>
      </c>
      <c r="BM52" s="179">
        <v>323031701210.76727</v>
      </c>
      <c r="BN52" s="179">
        <v>270150956772.56732</v>
      </c>
      <c r="BO52" s="179">
        <v>318511813576.97217</v>
      </c>
      <c r="BP52" s="179">
        <v>343939445259.48724</v>
      </c>
    </row>
    <row r="53" spans="1:68">
      <c r="A53" s="179" t="s">
        <v>578</v>
      </c>
      <c r="B53" s="179">
        <f t="shared" si="0"/>
        <v>1</v>
      </c>
      <c r="C53" s="179" t="s">
        <v>579</v>
      </c>
      <c r="D53" s="179" t="s">
        <v>494</v>
      </c>
      <c r="E53" s="179" t="s">
        <v>495</v>
      </c>
      <c r="Z53" s="179">
        <v>212218261.54140893</v>
      </c>
      <c r="AA53" s="179">
        <v>196349931.60257471</v>
      </c>
      <c r="AB53" s="179">
        <v>184009013.50193912</v>
      </c>
      <c r="AC53" s="179">
        <v>191621954.90903893</v>
      </c>
      <c r="AD53" s="179">
        <v>184697225.61905673</v>
      </c>
      <c r="AE53" s="179">
        <v>196726096.46777335</v>
      </c>
      <c r="AF53" s="179">
        <v>279197721.82498914</v>
      </c>
      <c r="AG53" s="179">
        <v>337525853.01580954</v>
      </c>
      <c r="AH53" s="179">
        <v>356500032.83085006</v>
      </c>
      <c r="AI53" s="179">
        <v>341476768.07969958</v>
      </c>
      <c r="AJ53" s="179">
        <v>429622178.04298443</v>
      </c>
      <c r="AK53" s="179">
        <v>424108769.12446463</v>
      </c>
      <c r="AL53" s="179">
        <v>457388651.90244406</v>
      </c>
      <c r="AM53" s="179">
        <v>452881475.07695633</v>
      </c>
      <c r="AN53" s="179">
        <v>319189184.2925685</v>
      </c>
      <c r="AO53" s="179">
        <v>398461796.74169254</v>
      </c>
      <c r="AP53" s="179">
        <v>396053806.39955705</v>
      </c>
      <c r="AQ53" s="179">
        <v>364445600.13315159</v>
      </c>
      <c r="AR53" s="179">
        <v>370106745.98028666</v>
      </c>
      <c r="AS53" s="179">
        <v>382454989.94531095</v>
      </c>
      <c r="AT53" s="179">
        <v>351136579.79792869</v>
      </c>
      <c r="AU53" s="179">
        <v>378512024.11533797</v>
      </c>
      <c r="AV53" s="179">
        <v>425964681.14894468</v>
      </c>
      <c r="AW53" s="179">
        <v>546885223.1791327</v>
      </c>
      <c r="AX53" s="179">
        <v>633706110.44522548</v>
      </c>
      <c r="AY53" s="179">
        <v>653845169.18970764</v>
      </c>
      <c r="AZ53" s="179">
        <v>698431794.45854926</v>
      </c>
      <c r="BA53" s="179">
        <v>795673153.18343496</v>
      </c>
      <c r="BB53" s="179">
        <v>915659107.76163745</v>
      </c>
      <c r="BC53" s="179">
        <v>905341173.97367406</v>
      </c>
      <c r="BD53" s="179">
        <v>907978731.70211816</v>
      </c>
      <c r="BE53" s="179">
        <v>1023086272.696221</v>
      </c>
      <c r="BF53" s="179">
        <v>1015843491.2463779</v>
      </c>
      <c r="BG53" s="179">
        <v>1116224107.1712325</v>
      </c>
      <c r="BH53" s="179">
        <v>1149587659.745049</v>
      </c>
      <c r="BI53" s="179">
        <v>966029599.80132174</v>
      </c>
      <c r="BJ53" s="179">
        <v>1012835492.5158547</v>
      </c>
      <c r="BK53" s="179">
        <v>1077439756.1222379</v>
      </c>
      <c r="BL53" s="179">
        <v>1188797449.9603579</v>
      </c>
      <c r="BM53" s="179">
        <v>1195019531.0367079</v>
      </c>
      <c r="BN53" s="179">
        <v>1225039195.9374392</v>
      </c>
      <c r="BO53" s="179">
        <v>1296089479.4582407</v>
      </c>
      <c r="BP53" s="179">
        <v>1242519407.2782135</v>
      </c>
    </row>
    <row r="54" spans="1:68">
      <c r="A54" s="179" t="s">
        <v>1330</v>
      </c>
      <c r="B54" s="179">
        <f t="shared" si="0"/>
        <v>1</v>
      </c>
      <c r="C54" s="179" t="s">
        <v>574</v>
      </c>
      <c r="D54" s="179" t="s">
        <v>494</v>
      </c>
      <c r="E54" s="179" t="s">
        <v>495</v>
      </c>
      <c r="F54" s="179">
        <v>3359404117.647059</v>
      </c>
      <c r="G54" s="179">
        <v>3086746857.1428571</v>
      </c>
      <c r="H54" s="179">
        <v>3779841428.5714288</v>
      </c>
      <c r="I54" s="179">
        <v>6213185742.5742579</v>
      </c>
      <c r="J54" s="179">
        <v>2881545272.727273</v>
      </c>
      <c r="K54" s="179">
        <v>4043901818.1818185</v>
      </c>
      <c r="L54" s="179">
        <v>4532660181.818182</v>
      </c>
      <c r="M54" s="179">
        <v>3384063371.7579155</v>
      </c>
      <c r="N54" s="179">
        <v>3909780538.9221559</v>
      </c>
      <c r="O54" s="179">
        <v>5032434970.0598803</v>
      </c>
      <c r="P54" s="179">
        <v>4877684910.1796417</v>
      </c>
      <c r="Q54" s="179">
        <v>5594770359.2814379</v>
      </c>
      <c r="R54" s="179">
        <v>6173712814.3712568</v>
      </c>
      <c r="S54" s="179">
        <v>7870239461.0778446</v>
      </c>
      <c r="T54" s="179">
        <v>9596960179.6407204</v>
      </c>
      <c r="U54" s="179">
        <v>10237343173.652695</v>
      </c>
      <c r="V54" s="179">
        <v>9648583224.9921227</v>
      </c>
      <c r="W54" s="179">
        <v>12344424763.57268</v>
      </c>
      <c r="X54" s="179">
        <v>15372608002.392328</v>
      </c>
      <c r="Y54" s="179">
        <v>15068422236.366274</v>
      </c>
      <c r="Z54" s="179">
        <v>14394927494.8647</v>
      </c>
      <c r="AA54" s="179">
        <v>12537821038.220222</v>
      </c>
      <c r="AB54" s="179">
        <v>13651667371.167646</v>
      </c>
      <c r="AC54" s="179">
        <v>11006712650.448143</v>
      </c>
      <c r="AD54" s="179">
        <v>7857729193.2034254</v>
      </c>
      <c r="AE54" s="179">
        <v>7195042616.0071001</v>
      </c>
      <c r="AF54" s="179">
        <v>8095367168.2176886</v>
      </c>
      <c r="AG54" s="179">
        <v>7661625472.5770502</v>
      </c>
      <c r="AH54" s="179">
        <v>8861299976.7415752</v>
      </c>
      <c r="AI54" s="179">
        <v>9021862775.1811161</v>
      </c>
      <c r="AJ54" s="179">
        <v>9349764580.4117336</v>
      </c>
      <c r="AK54" s="179">
        <v>9625436872.510746</v>
      </c>
      <c r="AL54" s="179">
        <v>8227343907.2667894</v>
      </c>
      <c r="AM54" s="179">
        <v>10706259936.742533</v>
      </c>
      <c r="AN54" s="179">
        <v>5820382248.2820158</v>
      </c>
      <c r="AO54" s="179">
        <v>5643439376.1049137</v>
      </c>
      <c r="AP54" s="179">
        <v>5771454939.6240406</v>
      </c>
      <c r="AQ54" s="179">
        <v>6090840548.1878386</v>
      </c>
      <c r="AR54" s="179">
        <v>6217806273.3108187</v>
      </c>
      <c r="AS54" s="179">
        <v>4711259427.272727</v>
      </c>
      <c r="AT54" s="179">
        <v>19088046305.7971</v>
      </c>
      <c r="AU54" s="179">
        <v>7438189100.333333</v>
      </c>
      <c r="AV54" s="179">
        <v>8728038525.1403351</v>
      </c>
      <c r="AW54" s="179">
        <v>8937567059.8775425</v>
      </c>
      <c r="AX54" s="179">
        <v>10297483481.223013</v>
      </c>
      <c r="AY54" s="179">
        <v>11964484457.523331</v>
      </c>
      <c r="AZ54" s="179">
        <v>14451901696.387831</v>
      </c>
      <c r="BA54" s="179">
        <v>16737071816.379993</v>
      </c>
      <c r="BB54" s="179">
        <v>19788515579.049801</v>
      </c>
      <c r="BC54" s="179">
        <v>18648372544.798374</v>
      </c>
      <c r="BD54" s="179">
        <v>21565721036.359119</v>
      </c>
      <c r="BE54" s="179">
        <v>25839749198.823307</v>
      </c>
      <c r="BF54" s="179">
        <v>29306235295.337059</v>
      </c>
      <c r="BG54" s="179">
        <v>32679745036.265877</v>
      </c>
      <c r="BH54" s="179">
        <v>35909040943.88501</v>
      </c>
      <c r="BI54" s="179">
        <v>37917706485.589607</v>
      </c>
      <c r="BJ54" s="179">
        <v>37134801548.83596</v>
      </c>
      <c r="BK54" s="179">
        <v>38019264804.512543</v>
      </c>
      <c r="BL54" s="179">
        <v>47568210020.933807</v>
      </c>
      <c r="BM54" s="179">
        <v>51775829868.766861</v>
      </c>
      <c r="BN54" s="179">
        <v>48716961864.537788</v>
      </c>
      <c r="BO54" s="179">
        <v>55350968593.059738</v>
      </c>
      <c r="BP54" s="179">
        <v>58065953573.324669</v>
      </c>
    </row>
    <row r="55" spans="1:68">
      <c r="A55" s="179" t="s">
        <v>1331</v>
      </c>
      <c r="B55" s="179">
        <f t="shared" si="0"/>
        <v>1</v>
      </c>
      <c r="C55" s="179" t="s">
        <v>575</v>
      </c>
      <c r="D55" s="179" t="s">
        <v>494</v>
      </c>
      <c r="E55" s="179" t="s">
        <v>495</v>
      </c>
      <c r="F55" s="179">
        <v>131731862.56899737</v>
      </c>
      <c r="G55" s="179">
        <v>151675739.16062728</v>
      </c>
      <c r="H55" s="179">
        <v>166521239.86328056</v>
      </c>
      <c r="I55" s="179">
        <v>172233430.87150151</v>
      </c>
      <c r="J55" s="179">
        <v>185693724.84533143</v>
      </c>
      <c r="K55" s="179">
        <v>198318063.86083451</v>
      </c>
      <c r="L55" s="179">
        <v>220613582.36982656</v>
      </c>
      <c r="M55" s="179">
        <v>237397428.33642918</v>
      </c>
      <c r="N55" s="179">
        <v>251247458.01218912</v>
      </c>
      <c r="O55" s="179">
        <v>265040036.05911562</v>
      </c>
      <c r="P55" s="179">
        <v>274960699.85855001</v>
      </c>
      <c r="Q55" s="179">
        <v>322128019.32356131</v>
      </c>
      <c r="R55" s="179">
        <v>410669262.89792931</v>
      </c>
      <c r="S55" s="179">
        <v>541973362.48099756</v>
      </c>
      <c r="T55" s="179">
        <v>585364635.35474765</v>
      </c>
      <c r="U55" s="179">
        <v>767102679.0186218</v>
      </c>
      <c r="V55" s="179">
        <v>754549600.54818189</v>
      </c>
      <c r="W55" s="179">
        <v>765224030.63655174</v>
      </c>
      <c r="X55" s="179">
        <v>878771771.29105008</v>
      </c>
      <c r="Y55" s="179">
        <v>1198749665.9506621</v>
      </c>
      <c r="Z55" s="179">
        <v>1705796849.5465524</v>
      </c>
      <c r="AA55" s="179">
        <v>1993512325.9228613</v>
      </c>
      <c r="AB55" s="179">
        <v>2160640566.539598</v>
      </c>
      <c r="AC55" s="179">
        <v>2097274289.6151164</v>
      </c>
      <c r="AD55" s="179">
        <v>2193581366.4072165</v>
      </c>
      <c r="AE55" s="179">
        <v>2160872541.4188676</v>
      </c>
      <c r="AF55" s="179">
        <v>1849268214.6818438</v>
      </c>
      <c r="AG55" s="179">
        <v>2297753649.2797918</v>
      </c>
      <c r="AH55" s="179">
        <v>2212536313.3349228</v>
      </c>
      <c r="AI55" s="179">
        <v>2389593021.9486561</v>
      </c>
      <c r="AJ55" s="179">
        <v>2798746050.582356</v>
      </c>
      <c r="AK55" s="179">
        <v>2724853507.6499581</v>
      </c>
      <c r="AL55" s="179">
        <v>2933222705.7974019</v>
      </c>
      <c r="AM55" s="179">
        <v>2684323618.4036517</v>
      </c>
      <c r="AN55" s="179">
        <v>1769365438.8852608</v>
      </c>
      <c r="AO55" s="179">
        <v>2116003868.1737292</v>
      </c>
      <c r="AP55" s="179">
        <v>2540697537.7042375</v>
      </c>
      <c r="AQ55" s="179">
        <v>2322719101.2845545</v>
      </c>
      <c r="AR55" s="179">
        <v>1949481380.6492543</v>
      </c>
      <c r="AS55" s="179">
        <v>2354772959.0618577</v>
      </c>
      <c r="AT55" s="179">
        <v>3227927697.4366474</v>
      </c>
      <c r="AU55" s="179">
        <v>2796704603.0444269</v>
      </c>
      <c r="AV55" s="179">
        <v>3034250926.180088</v>
      </c>
      <c r="AW55" s="179">
        <v>3503723086.7027969</v>
      </c>
      <c r="AX55" s="179">
        <v>4656974937.5522718</v>
      </c>
      <c r="AY55" s="179">
        <v>6650001684.9044991</v>
      </c>
      <c r="AZ55" s="179">
        <v>8072305030.6848383</v>
      </c>
      <c r="BA55" s="179">
        <v>8782703427.9608459</v>
      </c>
      <c r="BB55" s="179">
        <v>11649857662.138828</v>
      </c>
      <c r="BC55" s="179">
        <v>9723299908.1947289</v>
      </c>
      <c r="BD55" s="179">
        <v>13148396205.671043</v>
      </c>
      <c r="BE55" s="179">
        <v>15655383585.988747</v>
      </c>
      <c r="BF55" s="179">
        <v>17692911280.562691</v>
      </c>
      <c r="BG55" s="179">
        <v>17958720704.459644</v>
      </c>
      <c r="BH55" s="179">
        <v>17912907682.066257</v>
      </c>
      <c r="BI55" s="179">
        <v>11890259176.682888</v>
      </c>
      <c r="BJ55" s="179">
        <v>10219341017.138281</v>
      </c>
      <c r="BK55" s="179">
        <v>11094823676.59145</v>
      </c>
      <c r="BL55" s="179">
        <v>13670038019.859396</v>
      </c>
      <c r="BM55" s="179">
        <v>12750338736.166126</v>
      </c>
      <c r="BN55" s="179">
        <v>10483151093.687271</v>
      </c>
      <c r="BO55" s="179">
        <v>13366230821.329269</v>
      </c>
      <c r="BP55" s="179">
        <v>14615532210.052349</v>
      </c>
    </row>
    <row r="56" spans="1:68">
      <c r="A56" s="179" t="s">
        <v>581</v>
      </c>
      <c r="B56" s="179">
        <f t="shared" si="0"/>
        <v>0</v>
      </c>
      <c r="C56" s="179" t="s">
        <v>582</v>
      </c>
      <c r="D56" s="179" t="s">
        <v>494</v>
      </c>
      <c r="E56" s="179" t="s">
        <v>495</v>
      </c>
      <c r="F56" s="179">
        <v>507513829.99485475</v>
      </c>
      <c r="G56" s="179">
        <v>490325181.61427474</v>
      </c>
      <c r="H56" s="179">
        <v>479180824.34850603</v>
      </c>
      <c r="I56" s="179">
        <v>511902136.80997276</v>
      </c>
      <c r="J56" s="179">
        <v>542578367.24259782</v>
      </c>
      <c r="K56" s="179">
        <v>592981161.76067638</v>
      </c>
      <c r="L56" s="179">
        <v>647305629.63908017</v>
      </c>
      <c r="M56" s="179">
        <v>699456618.2740463</v>
      </c>
      <c r="N56" s="179">
        <v>773841493.68258739</v>
      </c>
      <c r="O56" s="179">
        <v>853630203.04880452</v>
      </c>
      <c r="P56" s="179">
        <v>984830157.6543895</v>
      </c>
      <c r="Q56" s="179">
        <v>1077147482.5107365</v>
      </c>
      <c r="R56" s="179">
        <v>1238251695.740505</v>
      </c>
      <c r="S56" s="179">
        <v>1528925769.809433</v>
      </c>
      <c r="T56" s="179">
        <v>1666544754.3085177</v>
      </c>
      <c r="U56" s="179">
        <v>1960863465.806402</v>
      </c>
      <c r="V56" s="179">
        <v>2412555426.1858292</v>
      </c>
      <c r="W56" s="179">
        <v>3072427013.1939821</v>
      </c>
      <c r="X56" s="179">
        <v>3523208810.2127433</v>
      </c>
      <c r="Y56" s="179">
        <v>4035519323.6914258</v>
      </c>
      <c r="Z56" s="179">
        <v>4831447001.6836452</v>
      </c>
      <c r="AA56" s="179">
        <v>2623803055.6985679</v>
      </c>
      <c r="AB56" s="179">
        <v>2606623577.8574958</v>
      </c>
      <c r="AC56" s="179">
        <v>3146772656.3741002</v>
      </c>
      <c r="AD56" s="179">
        <v>3660477828.8579845</v>
      </c>
      <c r="AE56" s="179">
        <v>3919203960.3960395</v>
      </c>
      <c r="AF56" s="179">
        <v>4418983870.967742</v>
      </c>
      <c r="AG56" s="179">
        <v>4532952047.1562843</v>
      </c>
      <c r="AH56" s="179">
        <v>4614629898.4034834</v>
      </c>
      <c r="AI56" s="179">
        <v>5251025767.4762669</v>
      </c>
      <c r="AJ56" s="179">
        <v>5711687786.7598858</v>
      </c>
      <c r="AK56" s="179">
        <v>7196276092.4609976</v>
      </c>
      <c r="AL56" s="179">
        <v>8564041894.9293804</v>
      </c>
      <c r="AM56" s="179">
        <v>9582868509.8999805</v>
      </c>
      <c r="AN56" s="179">
        <v>10486787030.348024</v>
      </c>
      <c r="AO56" s="179">
        <v>11578594259.867506</v>
      </c>
      <c r="AP56" s="179">
        <v>11678424507.245678</v>
      </c>
      <c r="AQ56" s="179">
        <v>12614602382.201204</v>
      </c>
      <c r="AR56" s="179">
        <v>13684255946.576462</v>
      </c>
      <c r="AS56" s="179">
        <v>14254866281.153738</v>
      </c>
      <c r="AT56" s="179">
        <v>15013629658.65213</v>
      </c>
      <c r="AU56" s="179">
        <v>15976174336.972055</v>
      </c>
      <c r="AV56" s="179">
        <v>16578820687.28809</v>
      </c>
      <c r="AW56" s="179">
        <v>17271760506.948277</v>
      </c>
      <c r="AX56" s="179">
        <v>18610594846.208298</v>
      </c>
      <c r="AY56" s="179">
        <v>20040642476.98167</v>
      </c>
      <c r="AZ56" s="179">
        <v>22715540324.303177</v>
      </c>
      <c r="BA56" s="179">
        <v>26884700345.034168</v>
      </c>
      <c r="BB56" s="179">
        <v>30801744881.000069</v>
      </c>
      <c r="BC56" s="179">
        <v>30745714326.94862</v>
      </c>
      <c r="BD56" s="179">
        <v>37658614803.277481</v>
      </c>
      <c r="BE56" s="179">
        <v>42762613705.783485</v>
      </c>
      <c r="BF56" s="179">
        <v>47231655433.466644</v>
      </c>
      <c r="BG56" s="179">
        <v>50949668885.987549</v>
      </c>
      <c r="BH56" s="179">
        <v>52016408923.928871</v>
      </c>
      <c r="BI56" s="179">
        <v>56441920823.763199</v>
      </c>
      <c r="BJ56" s="179">
        <v>58847019584.914368</v>
      </c>
      <c r="BK56" s="179">
        <v>60516044623.48761</v>
      </c>
      <c r="BL56" s="179">
        <v>62420164964.698738</v>
      </c>
      <c r="BM56" s="179">
        <v>64417670555.782127</v>
      </c>
      <c r="BN56" s="179">
        <v>62395610764.070541</v>
      </c>
      <c r="BO56" s="179">
        <v>64616482167.747513</v>
      </c>
      <c r="BP56" s="179">
        <v>68380838316.277687</v>
      </c>
    </row>
    <row r="57" spans="1:68">
      <c r="A57" s="222" t="s">
        <v>1335</v>
      </c>
      <c r="B57" s="179">
        <f t="shared" si="0"/>
        <v>1</v>
      </c>
      <c r="C57" s="179" t="s">
        <v>571</v>
      </c>
      <c r="D57" s="179" t="s">
        <v>494</v>
      </c>
      <c r="E57" s="179" t="s">
        <v>495</v>
      </c>
      <c r="F57" s="179">
        <v>546203558.45696485</v>
      </c>
      <c r="G57" s="179">
        <v>618245635.13480139</v>
      </c>
      <c r="H57" s="179">
        <v>645284474.55922925</v>
      </c>
      <c r="I57" s="179">
        <v>761047198.97367692</v>
      </c>
      <c r="J57" s="179">
        <v>921063326.29279745</v>
      </c>
      <c r="K57" s="179">
        <v>919771228.03651834</v>
      </c>
      <c r="L57" s="179">
        <v>1024102881.9025662</v>
      </c>
      <c r="M57" s="179">
        <v>1082922725.7906902</v>
      </c>
      <c r="N57" s="179">
        <v>1281281277.9814804</v>
      </c>
      <c r="O57" s="179">
        <v>1361360291.5872977</v>
      </c>
      <c r="P57" s="179">
        <v>1455482795.2655528</v>
      </c>
      <c r="Q57" s="179">
        <v>1584128511.2790167</v>
      </c>
      <c r="R57" s="179">
        <v>1849400398.2522786</v>
      </c>
      <c r="S57" s="179">
        <v>2508421425.5766926</v>
      </c>
      <c r="T57" s="179">
        <v>3070152313.8385439</v>
      </c>
      <c r="U57" s="179">
        <v>3893839184.0684724</v>
      </c>
      <c r="V57" s="179">
        <v>4662053819.6290836</v>
      </c>
      <c r="W57" s="179">
        <v>6265068200.4305506</v>
      </c>
      <c r="X57" s="179">
        <v>7900526290.128768</v>
      </c>
      <c r="Y57" s="179">
        <v>9142933955.5174942</v>
      </c>
      <c r="Z57" s="179">
        <v>10175617589.123192</v>
      </c>
      <c r="AA57" s="179">
        <v>8432589956.3489552</v>
      </c>
      <c r="AB57" s="179">
        <v>7567110855.8539095</v>
      </c>
      <c r="AC57" s="179">
        <v>6838184772.0786886</v>
      </c>
      <c r="AD57" s="179">
        <v>6841639250.2188597</v>
      </c>
      <c r="AE57" s="179">
        <v>6977650648.4740114</v>
      </c>
      <c r="AF57" s="179">
        <v>9158302111.361311</v>
      </c>
      <c r="AG57" s="179">
        <v>10087654451.341026</v>
      </c>
      <c r="AH57" s="179">
        <v>10255169812.018614</v>
      </c>
      <c r="AI57" s="179">
        <v>9757410629.7445583</v>
      </c>
      <c r="AJ57" s="179">
        <v>10795850584.587406</v>
      </c>
      <c r="AK57" s="179">
        <v>10492628587.859154</v>
      </c>
      <c r="AL57" s="179">
        <v>11152971284.447853</v>
      </c>
      <c r="AM57" s="179">
        <v>11045760268.615582</v>
      </c>
      <c r="AN57" s="179">
        <v>8313557515.3031168</v>
      </c>
      <c r="AO57" s="179">
        <v>11000146268.688433</v>
      </c>
      <c r="AP57" s="179">
        <v>18071152820.983219</v>
      </c>
      <c r="AQ57" s="179">
        <v>18047558026.604939</v>
      </c>
      <c r="AR57" s="179">
        <v>19619654770.06794</v>
      </c>
      <c r="AS57" s="179">
        <v>18870992455.730404</v>
      </c>
      <c r="AT57" s="179">
        <v>16577533891.568796</v>
      </c>
      <c r="AU57" s="179">
        <v>16810537038.413946</v>
      </c>
      <c r="AV57" s="179">
        <v>18054383333.522133</v>
      </c>
      <c r="AW57" s="179">
        <v>21251754334.799885</v>
      </c>
      <c r="AX57" s="179">
        <v>23510575668.558796</v>
      </c>
      <c r="AY57" s="179">
        <v>24036918719.337437</v>
      </c>
      <c r="AZ57" s="179">
        <v>25281413268.252487</v>
      </c>
      <c r="BA57" s="179">
        <v>28760090924.266552</v>
      </c>
      <c r="BB57" s="179">
        <v>34078240260.18721</v>
      </c>
      <c r="BC57" s="179">
        <v>33886813225.179016</v>
      </c>
      <c r="BD57" s="179">
        <v>34936307964.321251</v>
      </c>
      <c r="BE57" s="179">
        <v>36693710822.221573</v>
      </c>
      <c r="BF57" s="179">
        <v>36302302844.019623</v>
      </c>
      <c r="BG57" s="179">
        <v>42760235496.389809</v>
      </c>
      <c r="BH57" s="179">
        <v>48843005625.030693</v>
      </c>
      <c r="BI57" s="179">
        <v>45815005170.612717</v>
      </c>
      <c r="BJ57" s="179">
        <v>48407761031.675758</v>
      </c>
      <c r="BK57" s="179">
        <v>52512344033.962479</v>
      </c>
      <c r="BL57" s="179">
        <v>58522477744.7313</v>
      </c>
      <c r="BM57" s="179">
        <v>59898479821.194572</v>
      </c>
      <c r="BN57" s="179">
        <v>62982768371.517365</v>
      </c>
      <c r="BO57" s="179">
        <v>71811075954.676025</v>
      </c>
      <c r="BP57" s="179">
        <v>70018715016.696671</v>
      </c>
    </row>
    <row r="58" spans="1:68">
      <c r="A58" s="179" t="s">
        <v>676</v>
      </c>
      <c r="B58" s="179">
        <f t="shared" si="0"/>
        <v>1</v>
      </c>
      <c r="C58" s="179" t="s">
        <v>677</v>
      </c>
      <c r="D58" s="179" t="s">
        <v>494</v>
      </c>
      <c r="E58" s="179" t="s">
        <v>495</v>
      </c>
      <c r="AO58" s="179">
        <v>22778305790.16301</v>
      </c>
      <c r="AP58" s="179">
        <v>24147539209.850246</v>
      </c>
      <c r="AQ58" s="179">
        <v>24172608178.087128</v>
      </c>
      <c r="AR58" s="179">
        <v>25885225293.615086</v>
      </c>
      <c r="AS58" s="179">
        <v>23770159784.257236</v>
      </c>
      <c r="AT58" s="179">
        <v>22128719418.437622</v>
      </c>
      <c r="AU58" s="179">
        <v>23063323722.500717</v>
      </c>
      <c r="AV58" s="179">
        <v>26757255951.778645</v>
      </c>
      <c r="AW58" s="179">
        <v>35254833028.402016</v>
      </c>
      <c r="AX58" s="179">
        <v>41855265955.291931</v>
      </c>
      <c r="AY58" s="179">
        <v>45025328213.787781</v>
      </c>
      <c r="AZ58" s="179">
        <v>49532592592.883232</v>
      </c>
      <c r="BA58" s="179">
        <v>59172904660.617569</v>
      </c>
      <c r="BB58" s="179">
        <v>68342061762.001678</v>
      </c>
      <c r="BC58" s="179">
        <v>61941466003.287453</v>
      </c>
      <c r="BD58" s="179">
        <v>58693611581.162033</v>
      </c>
      <c r="BE58" s="179">
        <v>62599775593.220985</v>
      </c>
      <c r="BF58" s="179">
        <v>57231455635.366821</v>
      </c>
      <c r="BG58" s="179">
        <v>59363124068.584259</v>
      </c>
      <c r="BH58" s="179">
        <v>59214461630.399292</v>
      </c>
      <c r="BI58" s="179">
        <v>50742086222.907005</v>
      </c>
      <c r="BJ58" s="179">
        <v>52391038979.033791</v>
      </c>
      <c r="BK58" s="179">
        <v>55937483557.925568</v>
      </c>
      <c r="BL58" s="179">
        <v>61330483609.883514</v>
      </c>
      <c r="BM58" s="179">
        <v>61329267533.131554</v>
      </c>
      <c r="BN58" s="179">
        <v>57624938982.360626</v>
      </c>
      <c r="BO58" s="179">
        <v>68843674641.211166</v>
      </c>
      <c r="BP58" s="179">
        <v>70964606464.642715</v>
      </c>
    </row>
    <row r="59" spans="1:68">
      <c r="A59" s="179" t="s">
        <v>585</v>
      </c>
      <c r="B59" s="179">
        <f t="shared" si="0"/>
        <v>0</v>
      </c>
      <c r="C59" s="179" t="s">
        <v>586</v>
      </c>
      <c r="D59" s="179" t="s">
        <v>494</v>
      </c>
      <c r="E59" s="179" t="s">
        <v>495</v>
      </c>
      <c r="P59" s="179">
        <v>5693005200</v>
      </c>
      <c r="Q59" s="179">
        <v>6914658400</v>
      </c>
      <c r="R59" s="179">
        <v>8135150891.9202518</v>
      </c>
      <c r="S59" s="179">
        <v>9987709650.1809406</v>
      </c>
      <c r="T59" s="179">
        <v>11405957317.073172</v>
      </c>
      <c r="U59" s="179">
        <v>13027415243.902439</v>
      </c>
      <c r="V59" s="179">
        <v>13789579902.557858</v>
      </c>
      <c r="W59" s="179">
        <v>14206158674.698795</v>
      </c>
      <c r="X59" s="179">
        <v>17844705324.675323</v>
      </c>
      <c r="Y59" s="179">
        <v>19584443287.671234</v>
      </c>
      <c r="Z59" s="179">
        <v>19912889861.111111</v>
      </c>
      <c r="AA59" s="179">
        <v>20150254096.385544</v>
      </c>
      <c r="AB59" s="179">
        <v>20953510235.294117</v>
      </c>
      <c r="AC59" s="179">
        <v>22204940512.223515</v>
      </c>
      <c r="AD59" s="179">
        <v>24039383608.42345</v>
      </c>
      <c r="AE59" s="179">
        <v>22920490774.101974</v>
      </c>
      <c r="AF59" s="179">
        <v>24226574634.029278</v>
      </c>
      <c r="AG59" s="179">
        <v>25213935012.081902</v>
      </c>
      <c r="AH59" s="179">
        <v>27458999472.295513</v>
      </c>
      <c r="AI59" s="179">
        <v>27023468665.897732</v>
      </c>
      <c r="AJ59" s="179">
        <v>28645436569.148937</v>
      </c>
      <c r="AK59" s="179">
        <v>24316556025.658524</v>
      </c>
      <c r="AL59" s="179">
        <v>22085858243.243244</v>
      </c>
      <c r="AM59" s="179">
        <v>22367254864.864864</v>
      </c>
      <c r="AN59" s="179">
        <v>28448326756.756756</v>
      </c>
      <c r="AO59" s="179">
        <v>30429803651.2192</v>
      </c>
      <c r="AP59" s="179">
        <v>25017368700</v>
      </c>
      <c r="AQ59" s="179">
        <v>25365908100</v>
      </c>
      <c r="AR59" s="179">
        <v>25736331200</v>
      </c>
      <c r="AS59" s="179">
        <v>28364615200</v>
      </c>
      <c r="AT59" s="179">
        <v>30565400000</v>
      </c>
      <c r="AU59" s="179">
        <v>31682400000</v>
      </c>
      <c r="AV59" s="179">
        <v>33590500000</v>
      </c>
      <c r="AW59" s="179">
        <v>35901200000</v>
      </c>
      <c r="AX59" s="179">
        <v>38203000000</v>
      </c>
      <c r="AY59" s="179">
        <v>42643836100</v>
      </c>
      <c r="AZ59" s="179">
        <v>48835925925.925926</v>
      </c>
      <c r="BA59" s="179">
        <v>54262870370.370369</v>
      </c>
      <c r="BB59" s="179">
        <v>56302129629.629623</v>
      </c>
      <c r="BC59" s="179">
        <v>57481481481.481476</v>
      </c>
      <c r="BD59" s="179">
        <v>59562962962.962959</v>
      </c>
      <c r="BE59" s="179">
        <v>68990000000</v>
      </c>
      <c r="BF59" s="179">
        <v>73141000000</v>
      </c>
      <c r="BG59" s="179">
        <v>77148000000</v>
      </c>
      <c r="BH59" s="179">
        <v>80656000000</v>
      </c>
      <c r="BI59" s="179">
        <v>87133000000</v>
      </c>
      <c r="BJ59" s="179">
        <v>91370000000</v>
      </c>
      <c r="BK59" s="179">
        <v>96851000000</v>
      </c>
      <c r="BL59" s="179">
        <v>100050000000</v>
      </c>
      <c r="BM59" s="179">
        <v>103428000000</v>
      </c>
      <c r="BN59" s="179">
        <v>107352000000</v>
      </c>
    </row>
    <row r="60" spans="1:68">
      <c r="A60" s="179" t="s">
        <v>587</v>
      </c>
      <c r="B60" s="179">
        <f t="shared" si="0"/>
        <v>0</v>
      </c>
      <c r="C60" s="179" t="s">
        <v>588</v>
      </c>
      <c r="D60" s="179" t="s">
        <v>494</v>
      </c>
      <c r="E60" s="179" t="s">
        <v>495</v>
      </c>
      <c r="BE60" s="179">
        <v>2933128491.6201115</v>
      </c>
      <c r="BF60" s="179">
        <v>3024525139.6648045</v>
      </c>
      <c r="BG60" s="179">
        <v>3039944134.0782123</v>
      </c>
      <c r="BH60" s="179">
        <v>3048435754.1899443</v>
      </c>
      <c r="BI60" s="179">
        <v>3042737430.1675978</v>
      </c>
      <c r="BJ60" s="179">
        <v>3014748603.3519554</v>
      </c>
      <c r="BK60" s="179">
        <v>3009497206.7039104</v>
      </c>
      <c r="BL60" s="179">
        <v>3020388826.8156424</v>
      </c>
      <c r="BM60" s="179">
        <v>2995185474.8603354</v>
      </c>
      <c r="BN60" s="179">
        <v>2496174748.6033521</v>
      </c>
      <c r="BO60" s="179">
        <v>2699612458.1005588</v>
      </c>
    </row>
    <row r="61" spans="1:68">
      <c r="A61" s="179" t="s">
        <v>591</v>
      </c>
      <c r="B61" s="179">
        <f t="shared" si="0"/>
        <v>1</v>
      </c>
      <c r="C61" s="179" t="s">
        <v>592</v>
      </c>
      <c r="D61" s="179" t="s">
        <v>494</v>
      </c>
      <c r="E61" s="179" t="s">
        <v>495</v>
      </c>
      <c r="U61" s="179">
        <v>489914760.68280709</v>
      </c>
      <c r="V61" s="179">
        <v>576090073.71503592</v>
      </c>
      <c r="W61" s="179">
        <v>734887973.97580564</v>
      </c>
      <c r="X61" s="179">
        <v>964026512.1978389</v>
      </c>
      <c r="Y61" s="179">
        <v>1288715209.5808384</v>
      </c>
      <c r="Z61" s="179">
        <v>2154311276.9485903</v>
      </c>
      <c r="AA61" s="179">
        <v>2087496373.7796376</v>
      </c>
      <c r="AB61" s="179">
        <v>2159242416.7694201</v>
      </c>
      <c r="AC61" s="179">
        <v>2160364071.1902113</v>
      </c>
      <c r="AD61" s="179">
        <v>2278248953.1405787</v>
      </c>
      <c r="AE61" s="179">
        <v>2430411900.1919384</v>
      </c>
      <c r="AF61" s="179">
        <v>3090734463.2768359</v>
      </c>
      <c r="AG61" s="179">
        <v>3704813885.5054812</v>
      </c>
      <c r="AH61" s="179">
        <v>4278792597.2396483</v>
      </c>
      <c r="AI61" s="179">
        <v>4563482603.5502958</v>
      </c>
      <c r="AJ61" s="179">
        <v>5591130217.6696539</v>
      </c>
      <c r="AK61" s="179">
        <v>5770197348.484848</v>
      </c>
      <c r="AL61" s="179">
        <v>6912150456.3233376</v>
      </c>
      <c r="AM61" s="179">
        <v>6590291048.2921085</v>
      </c>
      <c r="AN61" s="179">
        <v>7425703928.5714293</v>
      </c>
      <c r="AO61" s="179">
        <v>9933133247.089262</v>
      </c>
      <c r="AP61" s="179">
        <v>10011918444.165621</v>
      </c>
      <c r="AQ61" s="179">
        <v>9547818700.1140251</v>
      </c>
      <c r="AR61" s="179">
        <v>10248617647.058823</v>
      </c>
      <c r="AS61" s="179">
        <v>10497908306.364616</v>
      </c>
      <c r="AT61" s="179">
        <v>9985844486.3336487</v>
      </c>
      <c r="AU61" s="179">
        <v>10397897085.610199</v>
      </c>
      <c r="AV61" s="179">
        <v>11420227884.615385</v>
      </c>
      <c r="AW61" s="179">
        <v>14547325028.312571</v>
      </c>
      <c r="AX61" s="179">
        <v>17320552500</v>
      </c>
      <c r="AY61" s="179">
        <v>18433411267.255314</v>
      </c>
      <c r="AZ61" s="179">
        <v>20072786350.520638</v>
      </c>
      <c r="BA61" s="179">
        <v>23968764029.564739</v>
      </c>
      <c r="BB61" s="179">
        <v>27844698989.307163</v>
      </c>
      <c r="BC61" s="179">
        <v>25945391775.493195</v>
      </c>
      <c r="BD61" s="179">
        <v>25799940416.01733</v>
      </c>
      <c r="BE61" s="179">
        <v>27641551809.095577</v>
      </c>
      <c r="BF61" s="179">
        <v>25047433099.589069</v>
      </c>
      <c r="BG61" s="179">
        <v>23959708956.292809</v>
      </c>
      <c r="BH61" s="179">
        <v>23225912183.498764</v>
      </c>
      <c r="BI61" s="179">
        <v>19909269064.847256</v>
      </c>
      <c r="BJ61" s="179">
        <v>21046452117.376511</v>
      </c>
      <c r="BK61" s="179">
        <v>22946583375.550835</v>
      </c>
      <c r="BL61" s="179">
        <v>25597301190.677956</v>
      </c>
      <c r="BM61" s="179">
        <v>25945194240.454395</v>
      </c>
      <c r="BN61" s="179">
        <v>25008266159.24789</v>
      </c>
      <c r="BO61" s="179">
        <v>28408064462.185589</v>
      </c>
      <c r="BP61" s="179">
        <v>28439052740.85614</v>
      </c>
    </row>
    <row r="62" spans="1:68">
      <c r="A62" s="222" t="s">
        <v>1321</v>
      </c>
      <c r="B62" s="179">
        <f t="shared" si="0"/>
        <v>1</v>
      </c>
      <c r="C62" s="179" t="s">
        <v>593</v>
      </c>
      <c r="D62" s="179" t="s">
        <v>494</v>
      </c>
      <c r="E62" s="179" t="s">
        <v>495</v>
      </c>
      <c r="AJ62" s="179">
        <v>40728950704.617615</v>
      </c>
      <c r="AK62" s="179">
        <v>29859921158.869625</v>
      </c>
      <c r="AL62" s="179">
        <v>34805013229.571983</v>
      </c>
      <c r="AM62" s="179">
        <v>40866982340.195679</v>
      </c>
      <c r="AN62" s="179">
        <v>47850065328.975418</v>
      </c>
      <c r="AO62" s="179">
        <v>60145663258.898224</v>
      </c>
      <c r="AP62" s="179">
        <v>67388492013.544502</v>
      </c>
      <c r="AQ62" s="179">
        <v>62180519005.943977</v>
      </c>
      <c r="AR62" s="179">
        <v>66807498696.350227</v>
      </c>
      <c r="AS62" s="179">
        <v>65173036730.62043</v>
      </c>
      <c r="AT62" s="179">
        <v>61823494487.036331</v>
      </c>
      <c r="AU62" s="179">
        <v>67808695573.680969</v>
      </c>
      <c r="AV62" s="179">
        <v>82196206089.758469</v>
      </c>
      <c r="AW62" s="179">
        <v>100090467581.26839</v>
      </c>
      <c r="AX62" s="179">
        <v>119814667457.85464</v>
      </c>
      <c r="AY62" s="179">
        <v>137143375920.46982</v>
      </c>
      <c r="AZ62" s="179">
        <v>156264210926.17682</v>
      </c>
      <c r="BA62" s="179">
        <v>190184113270.14966</v>
      </c>
      <c r="BB62" s="179">
        <v>236816948159.71835</v>
      </c>
      <c r="BC62" s="179">
        <v>207434296805.32971</v>
      </c>
      <c r="BD62" s="179">
        <v>209069940963.17725</v>
      </c>
      <c r="BE62" s="179">
        <v>229562733398.94751</v>
      </c>
      <c r="BF62" s="179">
        <v>208857719320.64871</v>
      </c>
      <c r="BG62" s="179">
        <v>211685616592.93109</v>
      </c>
      <c r="BH62" s="179">
        <v>209358834156.32904</v>
      </c>
      <c r="BI62" s="179">
        <v>188033050459.8811</v>
      </c>
      <c r="BJ62" s="179">
        <v>196272068576.33829</v>
      </c>
      <c r="BK62" s="179">
        <v>218628940951.67508</v>
      </c>
      <c r="BL62" s="179">
        <v>249000540729.17868</v>
      </c>
      <c r="BM62" s="179">
        <v>252548179964.89661</v>
      </c>
      <c r="BN62" s="179">
        <v>245974558654.04294</v>
      </c>
      <c r="BO62" s="179">
        <v>281791218507.09961</v>
      </c>
      <c r="BP62" s="179">
        <v>290923534700.51807</v>
      </c>
    </row>
    <row r="63" spans="1:68">
      <c r="A63" s="179" t="s">
        <v>599</v>
      </c>
      <c r="B63" s="179">
        <f t="shared" si="0"/>
        <v>1</v>
      </c>
      <c r="C63" s="179" t="s">
        <v>600</v>
      </c>
      <c r="D63" s="179" t="s">
        <v>494</v>
      </c>
      <c r="E63" s="179" t="s">
        <v>495</v>
      </c>
      <c r="L63" s="179">
        <v>11931739465.179155</v>
      </c>
      <c r="M63" s="179">
        <v>13059065018.618654</v>
      </c>
      <c r="N63" s="179">
        <v>13505573854.961836</v>
      </c>
      <c r="O63" s="179">
        <v>15414902253.307085</v>
      </c>
      <c r="P63" s="179">
        <v>17075457585.201271</v>
      </c>
      <c r="Q63" s="179">
        <v>19085633672.63279</v>
      </c>
      <c r="R63" s="179">
        <v>23232407814.690804</v>
      </c>
      <c r="S63" s="179">
        <v>30730626668.440472</v>
      </c>
      <c r="T63" s="179">
        <v>34160444803.714653</v>
      </c>
      <c r="U63" s="179">
        <v>40474406216.282066</v>
      </c>
      <c r="V63" s="179">
        <v>44575708130.996269</v>
      </c>
      <c r="W63" s="179">
        <v>49784407635.902161</v>
      </c>
      <c r="X63" s="179">
        <v>60362658215.266258</v>
      </c>
      <c r="Y63" s="179">
        <v>70366799281.569489</v>
      </c>
      <c r="Z63" s="179">
        <v>71127002864.849869</v>
      </c>
      <c r="AA63" s="179">
        <v>61878103527.153999</v>
      </c>
      <c r="AB63" s="179">
        <v>60412542585.681396</v>
      </c>
      <c r="AC63" s="179">
        <v>60644837444.4217</v>
      </c>
      <c r="AD63" s="179">
        <v>59105284414.64032</v>
      </c>
      <c r="AE63" s="179">
        <v>62658617565.475906</v>
      </c>
      <c r="AF63" s="179">
        <v>88078850821.624374</v>
      </c>
      <c r="AG63" s="179">
        <v>109414157336.77042</v>
      </c>
      <c r="AH63" s="179">
        <v>115552417468.55281</v>
      </c>
      <c r="AI63" s="179">
        <v>112409606609.96487</v>
      </c>
      <c r="AJ63" s="179">
        <v>138248216614.8013</v>
      </c>
      <c r="AK63" s="179">
        <v>139225595726.80203</v>
      </c>
      <c r="AL63" s="179">
        <v>152914810032.91299</v>
      </c>
      <c r="AM63" s="179">
        <v>143194762031.87689</v>
      </c>
      <c r="AN63" s="179">
        <v>156163573390.25354</v>
      </c>
      <c r="AO63" s="179">
        <v>185007982281.29767</v>
      </c>
      <c r="AP63" s="179">
        <v>187633263192.74835</v>
      </c>
      <c r="AQ63" s="179">
        <v>173538719988.5531</v>
      </c>
      <c r="AR63" s="179">
        <v>176991230634.23013</v>
      </c>
      <c r="AS63" s="179">
        <v>177964167947.20364</v>
      </c>
      <c r="AT63" s="179">
        <v>164157842126.82083</v>
      </c>
      <c r="AU63" s="179">
        <v>164791096044.09805</v>
      </c>
      <c r="AV63" s="179">
        <v>178634843165.63278</v>
      </c>
      <c r="AW63" s="179">
        <v>218096916361.97311</v>
      </c>
      <c r="AX63" s="179">
        <v>251374821136.17117</v>
      </c>
      <c r="AY63" s="179">
        <v>264466895451.15735</v>
      </c>
      <c r="AZ63" s="179">
        <v>282885978374.28516</v>
      </c>
      <c r="BA63" s="179">
        <v>319423375611.04663</v>
      </c>
      <c r="BB63" s="179">
        <v>353358901702.04565</v>
      </c>
      <c r="BC63" s="179">
        <v>321243301145.33698</v>
      </c>
      <c r="BD63" s="179">
        <v>321995279401.50159</v>
      </c>
      <c r="BE63" s="179">
        <v>344003137611.27118</v>
      </c>
      <c r="BF63" s="179">
        <v>327148943812.1366</v>
      </c>
      <c r="BG63" s="179">
        <v>343584391647.92706</v>
      </c>
      <c r="BH63" s="179">
        <v>352993631617.70801</v>
      </c>
      <c r="BI63" s="179">
        <v>302673070846.85724</v>
      </c>
      <c r="BJ63" s="179">
        <v>313115929314.33862</v>
      </c>
      <c r="BK63" s="179">
        <v>332121063806.39062</v>
      </c>
      <c r="BL63" s="179">
        <v>356841216410.06769</v>
      </c>
      <c r="BM63" s="179">
        <v>346498737961.63519</v>
      </c>
      <c r="BN63" s="179">
        <v>355222449505.21106</v>
      </c>
      <c r="BO63" s="179">
        <v>398303272764.45959</v>
      </c>
      <c r="BP63" s="179">
        <v>395403906582.00067</v>
      </c>
    </row>
    <row r="64" spans="1:68">
      <c r="A64" s="179" t="s">
        <v>595</v>
      </c>
      <c r="B64" s="179">
        <f t="shared" si="0"/>
        <v>1</v>
      </c>
      <c r="C64" s="179" t="s">
        <v>596</v>
      </c>
      <c r="D64" s="179" t="s">
        <v>494</v>
      </c>
      <c r="E64" s="179" t="s">
        <v>495</v>
      </c>
      <c r="AE64" s="179">
        <v>340989527.96991348</v>
      </c>
      <c r="AG64" s="179">
        <v>373371738.28641522</v>
      </c>
      <c r="AH64" s="179">
        <v>395794538.63077521</v>
      </c>
      <c r="AI64" s="179">
        <v>409220087.10281843</v>
      </c>
      <c r="AJ64" s="179">
        <v>452328087.28287596</v>
      </c>
      <c r="AK64" s="179">
        <v>462421998.52577919</v>
      </c>
      <c r="AL64" s="179">
        <v>478058304.87111819</v>
      </c>
      <c r="AM64" s="179">
        <v>466048469.22986031</v>
      </c>
      <c r="AN64" s="179">
        <v>491689220.74487537</v>
      </c>
      <c r="AO64" s="179">
        <v>497723960.58991337</v>
      </c>
      <c r="AP64" s="179">
        <v>494004647.73437017</v>
      </c>
      <c r="AQ64" s="179">
        <v>502675542.0012266</v>
      </c>
      <c r="AR64" s="179">
        <v>514267869.30075794</v>
      </c>
      <c r="AS64" s="179">
        <v>536080148.09729856</v>
      </c>
      <c r="AT64" s="179">
        <v>551230861.85650539</v>
      </c>
      <c r="AU64" s="179">
        <v>572417440.82016194</v>
      </c>
      <c r="AV64" s="179">
        <v>591122039.60139763</v>
      </c>
      <c r="AW64" s="179">
        <v>622044665.51504886</v>
      </c>
      <c r="AX64" s="179">
        <v>666072101.77750516</v>
      </c>
      <c r="AY64" s="179">
        <v>708633194.72656584</v>
      </c>
      <c r="AZ64" s="179">
        <v>768873684.03283799</v>
      </c>
      <c r="BA64" s="179">
        <v>847918929.10798383</v>
      </c>
      <c r="BB64" s="179">
        <v>999105339.26772857</v>
      </c>
      <c r="BC64" s="179">
        <v>1049110684.724934</v>
      </c>
      <c r="BD64" s="179">
        <v>1128611700.3618031</v>
      </c>
      <c r="BE64" s="179">
        <v>1239144501.7752545</v>
      </c>
      <c r="BF64" s="179">
        <v>1353632941.5206981</v>
      </c>
      <c r="BG64" s="179">
        <v>2042817162.8563871</v>
      </c>
      <c r="BH64" s="179">
        <v>2214679081.2565761</v>
      </c>
      <c r="BI64" s="179">
        <v>2424391785.4389744</v>
      </c>
      <c r="BJ64" s="179">
        <v>2604955228.7011662</v>
      </c>
      <c r="BK64" s="179">
        <v>2762581334.2261186</v>
      </c>
      <c r="BL64" s="179">
        <v>2913466732.1250725</v>
      </c>
      <c r="BM64" s="179">
        <v>3088853638.5683179</v>
      </c>
      <c r="BN64" s="179">
        <v>3181071153.6622009</v>
      </c>
      <c r="BO64" s="179">
        <v>3372287461.808115</v>
      </c>
      <c r="BP64" s="179">
        <v>3515109075.4609752</v>
      </c>
    </row>
    <row r="65" spans="1:68">
      <c r="A65" s="179" t="s">
        <v>597</v>
      </c>
      <c r="B65" s="179">
        <f t="shared" si="0"/>
        <v>0</v>
      </c>
      <c r="C65" s="179" t="s">
        <v>598</v>
      </c>
      <c r="D65" s="179" t="s">
        <v>494</v>
      </c>
      <c r="E65" s="179" t="s">
        <v>495</v>
      </c>
      <c r="W65" s="179">
        <v>45872947.407407403</v>
      </c>
      <c r="X65" s="179">
        <v>57130215.555555552</v>
      </c>
      <c r="Y65" s="179">
        <v>55017758.888888888</v>
      </c>
      <c r="Z65" s="179">
        <v>72804653.333333328</v>
      </c>
      <c r="AA65" s="179">
        <v>82107391.111111104</v>
      </c>
      <c r="AB65" s="179">
        <v>89527576.666666657</v>
      </c>
      <c r="AC65" s="179">
        <v>98665191.481481463</v>
      </c>
      <c r="AD65" s="179">
        <v>109157070.74074073</v>
      </c>
      <c r="AE65" s="179">
        <v>119491932.96296296</v>
      </c>
      <c r="AF65" s="179">
        <v>135161958.51851851</v>
      </c>
      <c r="AG65" s="179">
        <v>151868754.44444445</v>
      </c>
      <c r="AH65" s="179">
        <v>171106184.07407406</v>
      </c>
      <c r="AI65" s="179">
        <v>185137242.96296296</v>
      </c>
      <c r="AJ65" s="179">
        <v>201429629.62962961</v>
      </c>
      <c r="AK65" s="179">
        <v>219762962.96296296</v>
      </c>
      <c r="AL65" s="179">
        <v>234059259.25925925</v>
      </c>
      <c r="AM65" s="179">
        <v>245525925.92592591</v>
      </c>
      <c r="AN65" s="179">
        <v>264374074.07407406</v>
      </c>
      <c r="AO65" s="179">
        <v>274522222.22222221</v>
      </c>
      <c r="AP65" s="179">
        <v>292285185.18518519</v>
      </c>
      <c r="AQ65" s="179">
        <v>302988888.8888889</v>
      </c>
      <c r="AR65" s="179">
        <v>322411111.1111111</v>
      </c>
      <c r="AS65" s="179">
        <v>331759259.25925922</v>
      </c>
      <c r="AT65" s="179">
        <v>333470370.37037033</v>
      </c>
      <c r="AU65" s="179">
        <v>340203703.7037037</v>
      </c>
      <c r="AV65" s="179">
        <v>333196296.2962963</v>
      </c>
      <c r="AW65" s="179">
        <v>343311111.1111111</v>
      </c>
      <c r="AX65" s="179">
        <v>367200000</v>
      </c>
      <c r="AY65" s="179">
        <v>364255555.55555552</v>
      </c>
      <c r="AZ65" s="179">
        <v>390251851.85185188</v>
      </c>
      <c r="BA65" s="179">
        <v>421374074.07407403</v>
      </c>
      <c r="BB65" s="179">
        <v>458188888.88888884</v>
      </c>
      <c r="BC65" s="179">
        <v>489074074.07407403</v>
      </c>
      <c r="BD65" s="179">
        <v>493825925.92592591</v>
      </c>
      <c r="BE65" s="179">
        <v>501025925.92592591</v>
      </c>
      <c r="BF65" s="179">
        <v>485996296.29629624</v>
      </c>
      <c r="BG65" s="179">
        <v>498296296.29629624</v>
      </c>
      <c r="BH65" s="179">
        <v>520207407.40740734</v>
      </c>
      <c r="BI65" s="179">
        <v>540737037.03703701</v>
      </c>
      <c r="BJ65" s="179">
        <v>576229629.62962961</v>
      </c>
      <c r="BK65" s="179">
        <v>521551851.85185182</v>
      </c>
      <c r="BL65" s="179">
        <v>554770370.37037039</v>
      </c>
      <c r="BM65" s="179">
        <v>611537037.03703701</v>
      </c>
      <c r="BN65" s="179">
        <v>504214814.81481481</v>
      </c>
      <c r="BO65" s="179">
        <v>555266666.66666663</v>
      </c>
      <c r="BP65" s="179">
        <v>612048148.14814806</v>
      </c>
    </row>
    <row r="66" spans="1:68">
      <c r="A66" s="179" t="s">
        <v>601</v>
      </c>
      <c r="B66" s="179">
        <f t="shared" si="0"/>
        <v>0</v>
      </c>
      <c r="C66" s="179" t="s">
        <v>602</v>
      </c>
      <c r="D66" s="179" t="s">
        <v>494</v>
      </c>
      <c r="E66" s="179" t="s">
        <v>495</v>
      </c>
      <c r="F66" s="179">
        <v>672399700</v>
      </c>
      <c r="G66" s="179">
        <v>654100200</v>
      </c>
      <c r="H66" s="179">
        <v>824100000</v>
      </c>
      <c r="I66" s="179">
        <v>940799900</v>
      </c>
      <c r="J66" s="179">
        <v>1025599899.9999999</v>
      </c>
      <c r="K66" s="179">
        <v>888100000</v>
      </c>
      <c r="L66" s="179">
        <v>983900000</v>
      </c>
      <c r="M66" s="179">
        <v>1034800000</v>
      </c>
      <c r="N66" s="179">
        <v>1079100000</v>
      </c>
      <c r="O66" s="179">
        <v>1230500000</v>
      </c>
      <c r="P66" s="179">
        <v>1485500000</v>
      </c>
      <c r="Q66" s="179">
        <v>1666500000.1388745</v>
      </c>
      <c r="R66" s="179">
        <v>1987400000</v>
      </c>
      <c r="S66" s="179">
        <v>2344800000.1953993</v>
      </c>
      <c r="T66" s="179">
        <v>2925700001.4628501</v>
      </c>
      <c r="U66" s="179">
        <v>3599200003.5991998</v>
      </c>
      <c r="V66" s="179">
        <v>3951500003.9514999</v>
      </c>
      <c r="W66" s="179">
        <v>4587100004.5871</v>
      </c>
      <c r="X66" s="179">
        <v>4734400004.7343998</v>
      </c>
      <c r="Y66" s="179">
        <v>5498800005.4988003</v>
      </c>
      <c r="Z66" s="179">
        <v>6761300006.7613001</v>
      </c>
      <c r="AA66" s="179">
        <v>7561300007.5612993</v>
      </c>
      <c r="AB66" s="179">
        <v>8267400008.2673998</v>
      </c>
      <c r="AC66" s="179">
        <v>9220600009.2206001</v>
      </c>
      <c r="AD66" s="179">
        <v>11594000004.830837</v>
      </c>
      <c r="AE66" s="179">
        <v>5044579439.0021286</v>
      </c>
      <c r="AF66" s="179">
        <v>6122127855.1050768</v>
      </c>
      <c r="AG66" s="179">
        <v>5827050248.065011</v>
      </c>
      <c r="AH66" s="179">
        <v>5374300274.5732088</v>
      </c>
      <c r="AI66" s="179">
        <v>6686593059.9369087</v>
      </c>
      <c r="AJ66" s="179">
        <v>7073675544.7902126</v>
      </c>
      <c r="AK66" s="179">
        <v>9824483368.0088024</v>
      </c>
      <c r="AL66" s="179">
        <v>11605382504</v>
      </c>
      <c r="AM66" s="179">
        <v>13081042400</v>
      </c>
      <c r="AN66" s="179">
        <v>14644734247.740057</v>
      </c>
      <c r="AO66" s="179">
        <v>16637370839.160841</v>
      </c>
      <c r="AP66" s="179">
        <v>18241622255.714066</v>
      </c>
      <c r="AQ66" s="179">
        <v>20017449966.085743</v>
      </c>
      <c r="AR66" s="179">
        <v>21672215776.014381</v>
      </c>
      <c r="AS66" s="179">
        <v>22136579527.499439</v>
      </c>
      <c r="AT66" s="179">
        <v>24305781111.905708</v>
      </c>
      <c r="AU66" s="179">
        <v>25601824419.038544</v>
      </c>
      <c r="AV66" s="179">
        <v>27137441266.335514</v>
      </c>
      <c r="AW66" s="179">
        <v>21403168127.882973</v>
      </c>
      <c r="AX66" s="179">
        <v>22322387609.848099</v>
      </c>
      <c r="AY66" s="179">
        <v>35777560474.810608</v>
      </c>
      <c r="AZ66" s="179">
        <v>37879829854.796463</v>
      </c>
      <c r="BA66" s="179">
        <v>43965459071.065399</v>
      </c>
      <c r="BB66" s="179">
        <v>48122601589.771675</v>
      </c>
      <c r="BC66" s="179">
        <v>48261079523.821289</v>
      </c>
      <c r="BD66" s="179">
        <v>53860187452.385307</v>
      </c>
      <c r="BE66" s="179">
        <v>58029773802.381836</v>
      </c>
      <c r="BF66" s="179">
        <v>60681535894.481049</v>
      </c>
      <c r="BG66" s="179">
        <v>62682158700.288513</v>
      </c>
      <c r="BH66" s="179">
        <v>67179956264.938332</v>
      </c>
      <c r="BI66" s="179">
        <v>71164826719.50264</v>
      </c>
      <c r="BJ66" s="179">
        <v>75704647977.259064</v>
      </c>
      <c r="BK66" s="179">
        <v>79998045975.513702</v>
      </c>
      <c r="BL66" s="179">
        <v>85555390385.981171</v>
      </c>
      <c r="BM66" s="179">
        <v>88941371980.265137</v>
      </c>
      <c r="BN66" s="179">
        <v>78844655833.21936</v>
      </c>
      <c r="BO66" s="179">
        <v>94243426487.083298</v>
      </c>
      <c r="BP66" s="179">
        <v>113641857434.00235</v>
      </c>
    </row>
    <row r="67" spans="1:68">
      <c r="A67" s="179" t="s">
        <v>607</v>
      </c>
      <c r="B67" s="179">
        <f t="shared" si="0"/>
        <v>0</v>
      </c>
      <c r="C67" s="179" t="s">
        <v>608</v>
      </c>
      <c r="D67" s="179" t="s">
        <v>494</v>
      </c>
      <c r="E67" s="179" t="s">
        <v>495</v>
      </c>
      <c r="F67" s="179">
        <v>150325406857.62289</v>
      </c>
      <c r="G67" s="179">
        <v>159940391122.29367</v>
      </c>
      <c r="H67" s="179">
        <v>164426987482.14938</v>
      </c>
      <c r="I67" s="179">
        <v>174329767924.91696</v>
      </c>
      <c r="J67" s="179">
        <v>199945297628.86496</v>
      </c>
      <c r="K67" s="179">
        <v>216446892673.54248</v>
      </c>
      <c r="L67" s="179">
        <v>213717585174.21848</v>
      </c>
      <c r="M67" s="179">
        <v>224481783366.10474</v>
      </c>
      <c r="N67" s="179">
        <v>242649043703.58157</v>
      </c>
      <c r="O67" s="179">
        <v>270732689849.84482</v>
      </c>
      <c r="P67" s="179">
        <v>286772120540.82062</v>
      </c>
      <c r="Q67" s="179">
        <v>310202914047.88196</v>
      </c>
      <c r="R67" s="179">
        <v>339147957048.17401</v>
      </c>
      <c r="S67" s="179">
        <v>433956554432.36902</v>
      </c>
      <c r="T67" s="179">
        <v>606060392680.64429</v>
      </c>
      <c r="U67" s="179">
        <v>651462397679.96301</v>
      </c>
      <c r="V67" s="179">
        <v>711513664102.46826</v>
      </c>
      <c r="W67" s="179">
        <v>794834487670.36035</v>
      </c>
      <c r="X67" s="179">
        <v>914896533738.6261</v>
      </c>
      <c r="Y67" s="179">
        <v>1072741942109.1738</v>
      </c>
      <c r="Z67" s="179">
        <v>1334955732224.6516</v>
      </c>
      <c r="AA67" s="179">
        <v>1491022453297.7207</v>
      </c>
      <c r="AB67" s="179">
        <v>1418937141151.7847</v>
      </c>
      <c r="AC67" s="179">
        <v>1429300176950.8057</v>
      </c>
      <c r="AD67" s="179">
        <v>1457264926621.2483</v>
      </c>
      <c r="AE67" s="179">
        <v>1455540349922.6284</v>
      </c>
      <c r="AF67" s="179">
        <v>1471507593965.8906</v>
      </c>
      <c r="AG67" s="179">
        <v>1495076737734.3591</v>
      </c>
      <c r="AH67" s="179">
        <v>1555302003152.9082</v>
      </c>
      <c r="AI67" s="179">
        <v>1584652248354.8496</v>
      </c>
      <c r="AJ67" s="179">
        <v>1860056796275.8523</v>
      </c>
      <c r="AK67" s="179">
        <v>1968877107462.7764</v>
      </c>
      <c r="AL67" s="179">
        <v>2163166983544.9744</v>
      </c>
      <c r="AM67" s="179">
        <v>2376229055511.0894</v>
      </c>
      <c r="AN67" s="179">
        <v>2497962203210.6167</v>
      </c>
      <c r="AO67" s="179">
        <v>2560945788026.8115</v>
      </c>
      <c r="AP67" s="179">
        <v>2792350894378.1694</v>
      </c>
      <c r="AQ67" s="179">
        <v>2984903627916.1978</v>
      </c>
      <c r="AR67" s="179">
        <v>2942800566756.1274</v>
      </c>
      <c r="AS67" s="179">
        <v>3112677522884.3608</v>
      </c>
      <c r="AT67" s="179">
        <v>3386374511009.5581</v>
      </c>
      <c r="AU67" s="179">
        <v>3357006119628.5835</v>
      </c>
      <c r="AV67" s="179">
        <v>3264336980104.4409</v>
      </c>
      <c r="AW67" s="179">
        <v>3633102752693.6084</v>
      </c>
      <c r="AX67" s="179">
        <v>4229767093661.8833</v>
      </c>
      <c r="AY67" s="179">
        <v>4931859588770.0244</v>
      </c>
      <c r="AZ67" s="179">
        <v>5639663592981.583</v>
      </c>
      <c r="BA67" s="179">
        <v>6671943375191.4062</v>
      </c>
      <c r="BB67" s="179">
        <v>7524219026102.2256</v>
      </c>
      <c r="BC67" s="179">
        <v>7262366408335.9932</v>
      </c>
      <c r="BD67" s="179">
        <v>8804986202942.5547</v>
      </c>
      <c r="BE67" s="179">
        <v>9724222961681.7637</v>
      </c>
      <c r="BF67" s="179">
        <v>10162396987594.342</v>
      </c>
      <c r="BG67" s="179">
        <v>10305214092089.584</v>
      </c>
      <c r="BH67" s="179">
        <v>10661877094591.436</v>
      </c>
      <c r="BI67" s="179">
        <v>10147533368060.572</v>
      </c>
      <c r="BJ67" s="179">
        <v>10480129806000.359</v>
      </c>
      <c r="BK67" s="179">
        <v>11335422969863.648</v>
      </c>
      <c r="BL67" s="179">
        <v>11465084494129.488</v>
      </c>
      <c r="BM67" s="179">
        <v>11696252034573.33</v>
      </c>
      <c r="BN67" s="179">
        <v>10909268111328.209</v>
      </c>
      <c r="BO67" s="179">
        <v>12674194364881.75</v>
      </c>
      <c r="BP67" s="179">
        <v>14029514129086.953</v>
      </c>
    </row>
    <row r="68" spans="1:68">
      <c r="A68" s="179" t="s">
        <v>609</v>
      </c>
      <c r="B68" s="179">
        <f t="shared" si="0"/>
        <v>0</v>
      </c>
      <c r="C68" s="179" t="s">
        <v>610</v>
      </c>
      <c r="D68" s="179" t="s">
        <v>494</v>
      </c>
      <c r="E68" s="179" t="s">
        <v>495</v>
      </c>
      <c r="F68" s="179">
        <v>154635572036.7399</v>
      </c>
      <c r="G68" s="179">
        <v>155171539971.90417</v>
      </c>
      <c r="H68" s="179">
        <v>158388453382.13187</v>
      </c>
      <c r="I68" s="179">
        <v>176730177978.79755</v>
      </c>
      <c r="J68" s="179">
        <v>202714831720.69876</v>
      </c>
      <c r="K68" s="179">
        <v>225621661980.28168</v>
      </c>
      <c r="L68" s="179">
        <v>252106640604.13055</v>
      </c>
      <c r="M68" s="179">
        <v>273182977872.02313</v>
      </c>
      <c r="N68" s="179">
        <v>301204253595.28119</v>
      </c>
      <c r="O68" s="179">
        <v>346861784582.22351</v>
      </c>
      <c r="P68" s="179">
        <v>408898138223.84802</v>
      </c>
      <c r="Q68" s="179">
        <v>453726954329.13452</v>
      </c>
      <c r="R68" s="179">
        <v>563010907247.16418</v>
      </c>
      <c r="S68" s="179">
        <v>741889900791.10168</v>
      </c>
      <c r="T68" s="179">
        <v>854713010143.84949</v>
      </c>
      <c r="U68" s="179">
        <v>935819191485.15015</v>
      </c>
      <c r="V68" s="179">
        <v>1028846516914.6909</v>
      </c>
      <c r="W68" s="179">
        <v>1225988932220.26</v>
      </c>
      <c r="X68" s="179">
        <v>1546792686267.2334</v>
      </c>
      <c r="Y68" s="179">
        <v>1679992908986.7842</v>
      </c>
      <c r="Z68" s="179">
        <v>1815967653285.0085</v>
      </c>
      <c r="AA68" s="179">
        <v>2001890806303.946</v>
      </c>
      <c r="AB68" s="179">
        <v>1962329472988.3716</v>
      </c>
      <c r="AC68" s="179">
        <v>2087904294838.239</v>
      </c>
      <c r="AD68" s="179">
        <v>2235982147816.9365</v>
      </c>
      <c r="AE68" s="179">
        <v>2359536624595.2817</v>
      </c>
      <c r="AF68" s="179">
        <v>3082609431901.8604</v>
      </c>
      <c r="AG68" s="179">
        <v>3619762729461.2231</v>
      </c>
      <c r="AH68" s="179">
        <v>4354920545659.5161</v>
      </c>
      <c r="AI68" s="179">
        <v>4536212294968.7949</v>
      </c>
      <c r="AJ68" s="179">
        <v>4738184774160.9648</v>
      </c>
      <c r="AK68" s="179">
        <v>5349238155317.4902</v>
      </c>
      <c r="AL68" s="179">
        <v>5844850958070.3369</v>
      </c>
      <c r="AM68" s="179">
        <v>6536237529932.0762</v>
      </c>
      <c r="AN68" s="179">
        <v>7403854162598.8545</v>
      </c>
      <c r="AO68" s="179">
        <v>8407270073236.7324</v>
      </c>
      <c r="AP68" s="179">
        <v>8101132439890.5859</v>
      </c>
      <c r="AQ68" s="179">
        <v>7744674417552.835</v>
      </c>
      <c r="AR68" s="179">
        <v>6929788830686.5264</v>
      </c>
      <c r="AS68" s="179">
        <v>7740389071255.5088</v>
      </c>
      <c r="AT68" s="179">
        <v>8374967389221.6904</v>
      </c>
      <c r="AU68" s="179">
        <v>7788979324780.6055</v>
      </c>
      <c r="AV68" s="179">
        <v>7911872939399.3125</v>
      </c>
      <c r="AW68" s="179">
        <v>8699256032059.1387</v>
      </c>
      <c r="AX68" s="179">
        <v>9756921956173.9687</v>
      </c>
      <c r="AY68" s="179">
        <v>10409529158921.52</v>
      </c>
      <c r="AZ68" s="179">
        <v>11031655622225.064</v>
      </c>
      <c r="BA68" s="179">
        <v>12325978560532.814</v>
      </c>
      <c r="BB68" s="179">
        <v>14210859901527.197</v>
      </c>
      <c r="BC68" s="179">
        <v>14623038565206.752</v>
      </c>
      <c r="BD68" s="179">
        <v>17066365173220.023</v>
      </c>
      <c r="BE68" s="179">
        <v>19790735702384.027</v>
      </c>
      <c r="BF68" s="179">
        <v>21172217151488.223</v>
      </c>
      <c r="BG68" s="179">
        <v>21410751038294.281</v>
      </c>
      <c r="BH68" s="179">
        <v>22086203629928.34</v>
      </c>
      <c r="BI68" s="179">
        <v>21997190975438.602</v>
      </c>
      <c r="BJ68" s="179">
        <v>22772302203840.762</v>
      </c>
      <c r="BK68" s="179">
        <v>24324925891393.039</v>
      </c>
      <c r="BL68" s="179">
        <v>26485229927652.41</v>
      </c>
      <c r="BM68" s="179">
        <v>27023995393948.973</v>
      </c>
      <c r="BN68" s="179">
        <v>27144860679483.895</v>
      </c>
      <c r="BO68" s="179">
        <v>31095572987690.754</v>
      </c>
      <c r="BP68" s="179">
        <v>30655246030297.684</v>
      </c>
    </row>
    <row r="69" spans="1:68">
      <c r="A69" s="179" t="s">
        <v>605</v>
      </c>
      <c r="B69" s="179">
        <f t="shared" ref="B69:B132" si="1">COUNTIF($E$273:$E$393,A69)</f>
        <v>0</v>
      </c>
      <c r="C69" s="179" t="s">
        <v>606</v>
      </c>
      <c r="D69" s="179" t="s">
        <v>494</v>
      </c>
      <c r="E69" s="179" t="s">
        <v>495</v>
      </c>
      <c r="F69" s="179">
        <v>81326348985.756805</v>
      </c>
      <c r="G69" s="179">
        <v>71596255522.195084</v>
      </c>
      <c r="H69" s="179">
        <v>65380076109.971268</v>
      </c>
      <c r="I69" s="179">
        <v>70825945772.773987</v>
      </c>
      <c r="J69" s="179">
        <v>81742063326.972</v>
      </c>
      <c r="K69" s="179">
        <v>95156520863.463409</v>
      </c>
      <c r="L69" s="179">
        <v>104051083523.86418</v>
      </c>
      <c r="M69" s="179">
        <v>100981200429.95294</v>
      </c>
      <c r="N69" s="179">
        <v>102253082476.34691</v>
      </c>
      <c r="O69" s="179">
        <v>114766750932.51601</v>
      </c>
      <c r="P69" s="179">
        <v>127454919352.34146</v>
      </c>
      <c r="Q69" s="179">
        <v>137030062986.25539</v>
      </c>
      <c r="R69" s="179">
        <v>155408666772.33868</v>
      </c>
      <c r="S69" s="179">
        <v>195534127614.96082</v>
      </c>
      <c r="T69" s="179">
        <v>221206099178.33411</v>
      </c>
      <c r="U69" s="179">
        <v>248600838593.22168</v>
      </c>
      <c r="V69" s="179">
        <v>252627347577.80331</v>
      </c>
      <c r="W69" s="179">
        <v>291576300239.86938</v>
      </c>
      <c r="X69" s="179">
        <v>282751871491.9151</v>
      </c>
      <c r="Y69" s="179">
        <v>327551775854.46112</v>
      </c>
      <c r="Z69" s="179">
        <v>378033865488.36517</v>
      </c>
      <c r="AA69" s="179">
        <v>403550370494.57538</v>
      </c>
      <c r="AB69" s="179">
        <v>423685722452.22131</v>
      </c>
      <c r="AC69" s="179">
        <v>443837445351.94727</v>
      </c>
      <c r="AD69" s="179">
        <v>480900837963.17432</v>
      </c>
      <c r="AE69" s="179">
        <v>526325244782.65179</v>
      </c>
      <c r="AF69" s="179">
        <v>525026601298.33258</v>
      </c>
      <c r="AG69" s="179">
        <v>518938502263.91797</v>
      </c>
      <c r="AH69" s="179">
        <v>575483688565.97485</v>
      </c>
      <c r="AI69" s="179">
        <v>622373424237.77014</v>
      </c>
      <c r="AJ69" s="179">
        <v>667200070409.86951</v>
      </c>
      <c r="AK69" s="179">
        <v>723660415505.29333</v>
      </c>
      <c r="AL69" s="179">
        <v>811064516905.32971</v>
      </c>
      <c r="AM69" s="179">
        <v>890298100067.91687</v>
      </c>
      <c r="AN69" s="179">
        <v>1071324397430.2501</v>
      </c>
      <c r="AO69" s="179">
        <v>1321735880770.3591</v>
      </c>
      <c r="AP69" s="179">
        <v>1518091688363.7432</v>
      </c>
      <c r="AQ69" s="179">
        <v>1571653095184.7222</v>
      </c>
      <c r="AR69" s="179">
        <v>1431442362415.687</v>
      </c>
      <c r="AS69" s="179">
        <v>1575310857166.5935</v>
      </c>
      <c r="AT69" s="179">
        <v>1734224222956.6614</v>
      </c>
      <c r="AU69" s="179">
        <v>1847017054394.2183</v>
      </c>
      <c r="AV69" s="179">
        <v>2043852782637.2732</v>
      </c>
      <c r="AW69" s="179">
        <v>2311295448247.1157</v>
      </c>
      <c r="AX69" s="179">
        <v>2681922543395.7021</v>
      </c>
      <c r="AY69" s="179">
        <v>3106483464947.144</v>
      </c>
      <c r="AZ69" s="179">
        <v>3740321729010.9258</v>
      </c>
      <c r="BA69" s="179">
        <v>4727369211702.7168</v>
      </c>
      <c r="BB69" s="179">
        <v>5978428072955.4678</v>
      </c>
      <c r="BC69" s="179">
        <v>6483977394715.2549</v>
      </c>
      <c r="BD69" s="179">
        <v>7888957749541.3643</v>
      </c>
      <c r="BE69" s="179">
        <v>9645008222753.3711</v>
      </c>
      <c r="BF69" s="179">
        <v>10758481557851.758</v>
      </c>
      <c r="BG69" s="179">
        <v>11870565646660.67</v>
      </c>
      <c r="BH69" s="179">
        <v>12798136833357.73</v>
      </c>
      <c r="BI69" s="179">
        <v>13326936591373.316</v>
      </c>
      <c r="BJ69" s="179">
        <v>13611836958159.328</v>
      </c>
      <c r="BK69" s="179">
        <v>14876744560573.486</v>
      </c>
      <c r="BL69" s="179">
        <v>16639892731999.33</v>
      </c>
      <c r="BM69" s="179">
        <v>17207134431205.912</v>
      </c>
      <c r="BN69" s="179">
        <v>17487420266794.318</v>
      </c>
      <c r="BO69" s="179">
        <v>20837352063117.543</v>
      </c>
      <c r="BP69" s="179">
        <v>21189324409148.254</v>
      </c>
    </row>
    <row r="70" spans="1:68">
      <c r="A70" s="179" t="s">
        <v>924</v>
      </c>
      <c r="B70" s="179">
        <f t="shared" si="1"/>
        <v>0</v>
      </c>
      <c r="C70" s="179" t="s">
        <v>925</v>
      </c>
      <c r="D70" s="179" t="s">
        <v>494</v>
      </c>
      <c r="E70" s="179" t="s">
        <v>495</v>
      </c>
      <c r="F70" s="179">
        <v>81224776384.707413</v>
      </c>
      <c r="G70" s="179">
        <v>71506835328.254501</v>
      </c>
      <c r="H70" s="179">
        <v>65298419617.701347</v>
      </c>
      <c r="I70" s="179">
        <v>70737487657.739426</v>
      </c>
      <c r="J70" s="179">
        <v>81639971519.202316</v>
      </c>
      <c r="K70" s="179">
        <v>95037675059.471817</v>
      </c>
      <c r="L70" s="179">
        <v>103921128849.55096</v>
      </c>
      <c r="M70" s="179">
        <v>100855079888.29974</v>
      </c>
      <c r="N70" s="179">
        <v>102125373416.71286</v>
      </c>
      <c r="O70" s="179">
        <v>114623412917.81863</v>
      </c>
      <c r="P70" s="179">
        <v>127295734440.72781</v>
      </c>
      <c r="Q70" s="179">
        <v>136858919192.23219</v>
      </c>
      <c r="R70" s="179">
        <v>155214569008.12637</v>
      </c>
      <c r="S70" s="179">
        <v>195289915128.06735</v>
      </c>
      <c r="T70" s="179">
        <v>220929823664.41092</v>
      </c>
      <c r="U70" s="179">
        <v>248290348400.14291</v>
      </c>
      <c r="V70" s="179">
        <v>252311828473.48221</v>
      </c>
      <c r="W70" s="179">
        <v>291212135813.59082</v>
      </c>
      <c r="X70" s="179">
        <v>282398728342.15863</v>
      </c>
      <c r="Y70" s="179">
        <v>327142679832.48523</v>
      </c>
      <c r="Z70" s="179">
        <v>377561719824.85889</v>
      </c>
      <c r="AA70" s="179">
        <v>403046355974.10583</v>
      </c>
      <c r="AB70" s="179">
        <v>423156559869.69202</v>
      </c>
      <c r="AC70" s="179">
        <v>443283114260.85858</v>
      </c>
      <c r="AD70" s="179">
        <v>480300216521.68646</v>
      </c>
      <c r="AE70" s="179">
        <v>525667890496.15955</v>
      </c>
      <c r="AF70" s="179">
        <v>524370868953.53796</v>
      </c>
      <c r="AG70" s="179">
        <v>518290373654.71564</v>
      </c>
      <c r="AH70" s="179">
        <v>574764937806.37292</v>
      </c>
      <c r="AI70" s="179">
        <v>621596110509.65796</v>
      </c>
      <c r="AJ70" s="179">
        <v>666366770410.33594</v>
      </c>
      <c r="AK70" s="179">
        <v>722756599317.84509</v>
      </c>
      <c r="AL70" s="179">
        <v>810051537303.65833</v>
      </c>
      <c r="AM70" s="179">
        <v>889186161626.55017</v>
      </c>
      <c r="AN70" s="179">
        <v>1069986366066.8385</v>
      </c>
      <c r="AO70" s="179">
        <v>1320085097807.8323</v>
      </c>
      <c r="AP70" s="179">
        <v>1516195666676.533</v>
      </c>
      <c r="AQ70" s="179">
        <v>1569690177940.6042</v>
      </c>
      <c r="AR70" s="179">
        <v>1429654561465.3657</v>
      </c>
      <c r="AS70" s="179">
        <v>1573343371558.063</v>
      </c>
      <c r="AT70" s="179">
        <v>1732058262387.603</v>
      </c>
      <c r="AU70" s="179">
        <v>1844710221138.6108</v>
      </c>
      <c r="AV70" s="179">
        <v>2041300111259.7476</v>
      </c>
      <c r="AW70" s="179">
        <v>2308408754163.3408</v>
      </c>
      <c r="AX70" s="179">
        <v>2678572954339.4722</v>
      </c>
      <c r="AY70" s="179">
        <v>3102603620227.8511</v>
      </c>
      <c r="AZ70" s="179">
        <v>3735650251543.7163</v>
      </c>
      <c r="BA70" s="179">
        <v>4721464960584.3271</v>
      </c>
      <c r="BB70" s="179">
        <v>5970961310988.0342</v>
      </c>
      <c r="BC70" s="179">
        <v>6475879226565.0732</v>
      </c>
      <c r="BD70" s="179">
        <v>7879104830183.9443</v>
      </c>
      <c r="BE70" s="179">
        <v>9632969004624.752</v>
      </c>
      <c r="BF70" s="179">
        <v>10745080937107.859</v>
      </c>
      <c r="BG70" s="179">
        <v>11855762712168.93</v>
      </c>
      <c r="BH70" s="179">
        <v>12782174580093.705</v>
      </c>
      <c r="BI70" s="179">
        <v>13310296419270.848</v>
      </c>
      <c r="BJ70" s="179">
        <v>13594851920373.377</v>
      </c>
      <c r="BK70" s="179">
        <v>14858183903103.918</v>
      </c>
      <c r="BL70" s="179">
        <v>16619140999210.246</v>
      </c>
      <c r="BM70" s="179">
        <v>17185664986074.439</v>
      </c>
      <c r="BN70" s="179">
        <v>17465598594220.658</v>
      </c>
      <c r="BO70" s="179">
        <v>20811347144902.629</v>
      </c>
      <c r="BP70" s="179">
        <v>21162883158375.414</v>
      </c>
    </row>
    <row r="71" spans="1:68">
      <c r="A71" s="179" t="s">
        <v>615</v>
      </c>
      <c r="B71" s="179">
        <f t="shared" si="1"/>
        <v>0</v>
      </c>
      <c r="C71" s="179" t="s">
        <v>616</v>
      </c>
      <c r="D71" s="179" t="s">
        <v>494</v>
      </c>
      <c r="E71" s="179" t="s">
        <v>495</v>
      </c>
      <c r="F71" s="179">
        <v>2069465326.4233539</v>
      </c>
      <c r="G71" s="179">
        <v>1753850416.755507</v>
      </c>
      <c r="H71" s="179">
        <v>1518208221.2396941</v>
      </c>
      <c r="I71" s="179">
        <v>1824344492.083442</v>
      </c>
      <c r="J71" s="179">
        <v>2244146867.9061499</v>
      </c>
      <c r="K71" s="179">
        <v>2387048255.4517336</v>
      </c>
      <c r="L71" s="179">
        <v>2429309513.8085394</v>
      </c>
      <c r="M71" s="179">
        <v>2553596091.822576</v>
      </c>
      <c r="N71" s="179">
        <v>2582180794.1855011</v>
      </c>
      <c r="O71" s="179">
        <v>3112166848.3004012</v>
      </c>
      <c r="P71" s="179">
        <v>2862504169.9989309</v>
      </c>
      <c r="Q71" s="179">
        <v>2754220263.0252838</v>
      </c>
      <c r="R71" s="179">
        <v>3185987234.8408933</v>
      </c>
      <c r="S71" s="179">
        <v>3891755551.9413786</v>
      </c>
      <c r="T71" s="179">
        <v>6599259420.9960489</v>
      </c>
      <c r="U71" s="179">
        <v>7731677256.8098249</v>
      </c>
      <c r="V71" s="179">
        <v>9091924304.8347664</v>
      </c>
      <c r="W71" s="179">
        <v>11026346589.501144</v>
      </c>
      <c r="X71" s="179">
        <v>11922502170.640518</v>
      </c>
      <c r="Y71" s="179">
        <v>14175166007.577393</v>
      </c>
      <c r="Z71" s="179">
        <v>17881514682.878384</v>
      </c>
      <c r="AA71" s="179">
        <v>21810767209.369484</v>
      </c>
      <c r="AB71" s="179">
        <v>19929853574.609524</v>
      </c>
      <c r="AC71" s="179">
        <v>17152483214.353632</v>
      </c>
      <c r="AD71" s="179">
        <v>16912515183.278257</v>
      </c>
      <c r="AE71" s="179">
        <v>17149094589.982655</v>
      </c>
      <c r="AF71" s="179">
        <v>15314143988.062119</v>
      </c>
      <c r="AG71" s="179">
        <v>13945431882.227064</v>
      </c>
      <c r="AH71" s="179">
        <v>13051886552.337729</v>
      </c>
      <c r="AI71" s="179">
        <v>13890828707.6493</v>
      </c>
      <c r="AJ71" s="179">
        <v>15239278100.350185</v>
      </c>
      <c r="AK71" s="179">
        <v>16988535267.633818</v>
      </c>
      <c r="AL71" s="179">
        <v>18094238119.059528</v>
      </c>
      <c r="AM71" s="179">
        <v>18938717358.67934</v>
      </c>
      <c r="AN71" s="179">
        <v>22708673336.668331</v>
      </c>
      <c r="AO71" s="179">
        <v>24432884442.221107</v>
      </c>
      <c r="AP71" s="179">
        <v>25226393196.598297</v>
      </c>
      <c r="AQ71" s="179">
        <v>28162053026.513256</v>
      </c>
      <c r="AR71" s="179">
        <v>27981896948.474236</v>
      </c>
      <c r="AS71" s="179">
        <v>19645272636.318157</v>
      </c>
      <c r="AT71" s="179">
        <v>18327764882.441219</v>
      </c>
      <c r="AU71" s="179">
        <v>24468324000</v>
      </c>
      <c r="AV71" s="179">
        <v>28548945000</v>
      </c>
      <c r="AW71" s="179">
        <v>32432858000</v>
      </c>
      <c r="AX71" s="179">
        <v>36591661000</v>
      </c>
      <c r="AY71" s="179">
        <v>41507085000</v>
      </c>
      <c r="AZ71" s="179">
        <v>46802044000</v>
      </c>
      <c r="BA71" s="179">
        <v>51007777000</v>
      </c>
      <c r="BB71" s="179">
        <v>61762635000</v>
      </c>
      <c r="BC71" s="179">
        <v>62519686000</v>
      </c>
      <c r="BD71" s="179">
        <v>69555367000</v>
      </c>
      <c r="BE71" s="179">
        <v>79276664000</v>
      </c>
      <c r="BF71" s="179">
        <v>87924544000</v>
      </c>
      <c r="BG71" s="179">
        <v>95129659000</v>
      </c>
      <c r="BH71" s="179">
        <v>101726331000</v>
      </c>
      <c r="BI71" s="179">
        <v>99290381000</v>
      </c>
      <c r="BJ71" s="179">
        <v>99937696000</v>
      </c>
      <c r="BK71" s="179">
        <v>104295862000</v>
      </c>
      <c r="BL71" s="179">
        <v>107562008000</v>
      </c>
      <c r="BM71" s="179">
        <v>108108009000</v>
      </c>
      <c r="BN71" s="179">
        <v>99291124000</v>
      </c>
      <c r="BO71" s="179">
        <v>106165866000</v>
      </c>
      <c r="BP71" s="179">
        <v>115049476000</v>
      </c>
    </row>
    <row r="72" spans="1:68">
      <c r="A72" s="222" t="s">
        <v>1325</v>
      </c>
      <c r="B72" s="179">
        <f t="shared" si="1"/>
        <v>1</v>
      </c>
      <c r="C72" s="179" t="s">
        <v>617</v>
      </c>
      <c r="D72" s="179" t="s">
        <v>494</v>
      </c>
      <c r="E72" s="179" t="s">
        <v>495</v>
      </c>
      <c r="K72" s="179">
        <v>4948667540.4106598</v>
      </c>
      <c r="L72" s="179">
        <v>5278005611.914526</v>
      </c>
      <c r="M72" s="179">
        <v>5605484298.9827509</v>
      </c>
      <c r="N72" s="179">
        <v>5932242990.6542053</v>
      </c>
      <c r="O72" s="179">
        <v>6524455205.8111382</v>
      </c>
      <c r="P72" s="179">
        <v>8042200452.1477013</v>
      </c>
      <c r="Q72" s="179">
        <v>8609283346.0851822</v>
      </c>
      <c r="R72" s="179">
        <v>9299638055.8428135</v>
      </c>
      <c r="S72" s="179">
        <v>10098534613.441132</v>
      </c>
      <c r="T72" s="179">
        <v>9228963224.6000423</v>
      </c>
      <c r="U72" s="179">
        <v>11632178868.917141</v>
      </c>
      <c r="V72" s="179">
        <v>13315988083.416088</v>
      </c>
      <c r="W72" s="179">
        <v>14400806875.986668</v>
      </c>
      <c r="X72" s="179">
        <v>14811704063.068527</v>
      </c>
      <c r="Y72" s="179">
        <v>18020571428.57143</v>
      </c>
      <c r="Z72" s="179">
        <v>21669908176.388889</v>
      </c>
      <c r="AA72" s="179">
        <v>22136081081.081081</v>
      </c>
      <c r="AB72" s="179">
        <v>27655172413.793102</v>
      </c>
      <c r="AC72" s="179">
        <v>30966239813.736904</v>
      </c>
      <c r="AD72" s="179">
        <v>33971188991.614704</v>
      </c>
      <c r="AE72" s="179">
        <v>39053502251.073189</v>
      </c>
      <c r="AF72" s="179">
        <v>41253507951.356407</v>
      </c>
      <c r="AG72" s="179">
        <v>40455616653.574234</v>
      </c>
      <c r="AH72" s="179">
        <v>34980124929.017609</v>
      </c>
      <c r="AI72" s="179">
        <v>39756299049.979347</v>
      </c>
      <c r="AJ72" s="179">
        <v>42978914311.35038</v>
      </c>
      <c r="AK72" s="179">
        <v>37387836490.528419</v>
      </c>
      <c r="AL72" s="179">
        <v>41855986519.423462</v>
      </c>
      <c r="AM72" s="179">
        <v>46578631452.581032</v>
      </c>
      <c r="AN72" s="179">
        <v>51897983392.645317</v>
      </c>
      <c r="AO72" s="179">
        <v>60159245060.45414</v>
      </c>
      <c r="AP72" s="179">
        <v>67629716981.13208</v>
      </c>
      <c r="AQ72" s="179">
        <v>78436578171.091446</v>
      </c>
      <c r="AR72" s="179">
        <v>84828807556.080292</v>
      </c>
      <c r="AS72" s="179">
        <v>90710704806.841644</v>
      </c>
      <c r="AT72" s="179">
        <v>99838543960.076324</v>
      </c>
      <c r="AU72" s="179">
        <v>96684636118.598389</v>
      </c>
      <c r="AV72" s="179">
        <v>85146067415.730331</v>
      </c>
      <c r="AW72" s="179">
        <v>80288461538.461533</v>
      </c>
      <c r="AX72" s="179">
        <v>78782467532.467529</v>
      </c>
      <c r="AY72" s="179">
        <v>89600665557.404327</v>
      </c>
      <c r="AZ72" s="179">
        <v>107426086956.52174</v>
      </c>
      <c r="BA72" s="179">
        <v>130437828371.27846</v>
      </c>
      <c r="BB72" s="179">
        <v>162818181818.18182</v>
      </c>
      <c r="BC72" s="179">
        <v>189147005444.64612</v>
      </c>
      <c r="BD72" s="179">
        <v>218983666061.70599</v>
      </c>
      <c r="BE72" s="179">
        <v>235989672977.62479</v>
      </c>
      <c r="BF72" s="179">
        <v>279116666666.66669</v>
      </c>
      <c r="BG72" s="179">
        <v>288434108527.13177</v>
      </c>
      <c r="BH72" s="179">
        <v>305595408895.26544</v>
      </c>
      <c r="BI72" s="179">
        <v>329366576819.40698</v>
      </c>
      <c r="BJ72" s="179">
        <v>332441717791.41101</v>
      </c>
      <c r="BK72" s="179">
        <v>248362771739.13043</v>
      </c>
      <c r="BL72" s="179">
        <v>262588632526.73044</v>
      </c>
      <c r="BM72" s="179">
        <v>318678815489.74945</v>
      </c>
      <c r="BN72" s="179">
        <v>383817841547.09918</v>
      </c>
      <c r="BO72" s="179">
        <v>424671765455.70428</v>
      </c>
      <c r="BP72" s="179">
        <v>476747720364.74164</v>
      </c>
    </row>
    <row r="73" spans="1:68">
      <c r="A73" s="179" t="s">
        <v>889</v>
      </c>
      <c r="B73" s="179">
        <f t="shared" si="1"/>
        <v>0</v>
      </c>
      <c r="C73" s="179" t="s">
        <v>890</v>
      </c>
      <c r="D73" s="179" t="s">
        <v>494</v>
      </c>
      <c r="E73" s="179" t="s">
        <v>495</v>
      </c>
      <c r="K73" s="179">
        <v>877720000</v>
      </c>
      <c r="L73" s="179">
        <v>929520000</v>
      </c>
      <c r="M73" s="179">
        <v>976200000</v>
      </c>
      <c r="N73" s="179">
        <v>1009760100</v>
      </c>
      <c r="O73" s="179">
        <v>1049400000.0000001</v>
      </c>
      <c r="P73" s="179">
        <v>1132920000</v>
      </c>
      <c r="Q73" s="179">
        <v>1186120000</v>
      </c>
      <c r="R73" s="179">
        <v>1263720000</v>
      </c>
      <c r="S73" s="179">
        <v>1442320000</v>
      </c>
      <c r="T73" s="179">
        <v>1665880000</v>
      </c>
      <c r="U73" s="179">
        <v>1884120100</v>
      </c>
      <c r="V73" s="179">
        <v>2328280100</v>
      </c>
      <c r="W73" s="179">
        <v>2941640100</v>
      </c>
      <c r="X73" s="179">
        <v>3127960000</v>
      </c>
      <c r="Y73" s="179">
        <v>3463639900</v>
      </c>
      <c r="Z73" s="179">
        <v>3573959900</v>
      </c>
      <c r="AA73" s="179">
        <v>3437200200</v>
      </c>
      <c r="AB73" s="179">
        <v>3399189100</v>
      </c>
      <c r="AC73" s="179">
        <v>3506347800</v>
      </c>
      <c r="AD73" s="179">
        <v>3661683400</v>
      </c>
      <c r="AE73" s="179">
        <v>3800368600</v>
      </c>
      <c r="AF73" s="179">
        <v>3771663200</v>
      </c>
      <c r="AG73" s="179">
        <v>3958045800</v>
      </c>
      <c r="AH73" s="179">
        <v>4189880000</v>
      </c>
      <c r="AI73" s="179">
        <v>4372215300</v>
      </c>
      <c r="AJ73" s="179">
        <v>4817542204</v>
      </c>
      <c r="AK73" s="179">
        <v>5252342400</v>
      </c>
      <c r="AL73" s="179">
        <v>5813399300</v>
      </c>
      <c r="AM73" s="179">
        <v>6680269200</v>
      </c>
      <c r="AN73" s="179">
        <v>7679384000</v>
      </c>
      <c r="AO73" s="179">
        <v>8921947100</v>
      </c>
      <c r="AP73" s="179">
        <v>9586327800</v>
      </c>
      <c r="AQ73" s="179">
        <v>10221705900</v>
      </c>
      <c r="AR73" s="179">
        <v>10936669900</v>
      </c>
      <c r="AS73" s="179">
        <v>11284197000</v>
      </c>
      <c r="AT73" s="179">
        <v>11784927700</v>
      </c>
      <c r="AU73" s="179">
        <v>12282533600</v>
      </c>
      <c r="AV73" s="179">
        <v>12664190300</v>
      </c>
      <c r="AW73" s="179">
        <v>13243892200</v>
      </c>
      <c r="AX73" s="179">
        <v>13724810900</v>
      </c>
      <c r="AY73" s="179">
        <v>14698000000</v>
      </c>
      <c r="AZ73" s="179">
        <v>15999890000</v>
      </c>
      <c r="BA73" s="179">
        <v>17011750000</v>
      </c>
      <c r="BB73" s="179">
        <v>17986890000</v>
      </c>
      <c r="BC73" s="179">
        <v>17601620000</v>
      </c>
      <c r="BD73" s="179">
        <v>18447920000</v>
      </c>
      <c r="BE73" s="179">
        <v>20283780000</v>
      </c>
      <c r="BF73" s="179">
        <v>21386150000</v>
      </c>
      <c r="BG73" s="179">
        <v>21990960000</v>
      </c>
      <c r="BH73" s="179">
        <v>22593470000</v>
      </c>
      <c r="BI73" s="179">
        <v>23438240000</v>
      </c>
      <c r="BJ73" s="179">
        <v>24191430000</v>
      </c>
      <c r="BK73" s="179">
        <v>24979190000</v>
      </c>
      <c r="BL73" s="179">
        <v>26020850000</v>
      </c>
      <c r="BM73" s="179">
        <v>26881140000</v>
      </c>
      <c r="BN73" s="179">
        <v>24930080000</v>
      </c>
      <c r="BO73" s="179">
        <v>29451240000</v>
      </c>
      <c r="BP73" s="179">
        <v>32488720000</v>
      </c>
    </row>
    <row r="74" spans="1:68">
      <c r="A74" s="179" t="s">
        <v>654</v>
      </c>
      <c r="B74" s="179">
        <f t="shared" si="1"/>
        <v>1</v>
      </c>
      <c r="C74" s="179" t="s">
        <v>655</v>
      </c>
      <c r="D74" s="179" t="s">
        <v>494</v>
      </c>
      <c r="E74" s="179" t="s">
        <v>495</v>
      </c>
      <c r="H74" s="179">
        <v>9122751.4531834535</v>
      </c>
      <c r="I74" s="179">
        <v>10840095.12836493</v>
      </c>
      <c r="J74" s="179">
        <v>12712471.396021094</v>
      </c>
      <c r="K74" s="179">
        <v>64748333.333333336</v>
      </c>
      <c r="L74" s="179">
        <v>69110000.000000015</v>
      </c>
      <c r="M74" s="179">
        <v>72317446.932719275</v>
      </c>
      <c r="N74" s="179">
        <v>67514285.714285716</v>
      </c>
      <c r="O74" s="179">
        <v>67225714.285714284</v>
      </c>
      <c r="P74" s="179">
        <v>66331428.571428575</v>
      </c>
      <c r="Q74" s="179">
        <v>64946954.756797999</v>
      </c>
      <c r="R74" s="179">
        <v>65429198.238707967</v>
      </c>
      <c r="S74" s="179">
        <v>81203226.913834542</v>
      </c>
      <c r="T74" s="179">
        <v>94159862.707369089</v>
      </c>
      <c r="U74" s="179">
        <v>104295643.38843696</v>
      </c>
      <c r="V74" s="179">
        <v>103653049.93796989</v>
      </c>
      <c r="W74" s="179">
        <v>103987520.07582739</v>
      </c>
      <c r="Z74" s="179">
        <v>50642880.773750342</v>
      </c>
      <c r="AA74" s="179">
        <v>36731422.845691383</v>
      </c>
      <c r="AB74" s="179">
        <v>44294647.733478971</v>
      </c>
      <c r="AC74" s="179">
        <v>44442456.947639965</v>
      </c>
      <c r="AD74" s="179">
        <v>50320914.406568803</v>
      </c>
      <c r="AE74" s="179">
        <v>62118570.005323499</v>
      </c>
      <c r="AF74" s="179">
        <v>76407395.971048847</v>
      </c>
      <c r="AG74" s="179">
        <v>93345859.405032024</v>
      </c>
      <c r="AH74" s="179">
        <v>100534656.94269861</v>
      </c>
      <c r="AI74" s="179">
        <v>88265974.726051763</v>
      </c>
      <c r="AJ74" s="179">
        <v>112119411.50874577</v>
      </c>
      <c r="AK74" s="179">
        <v>110906028.61202176</v>
      </c>
      <c r="AL74" s="179">
        <v>134707183.97355574</v>
      </c>
      <c r="AM74" s="179">
        <v>136047906.00517026</v>
      </c>
      <c r="AN74" s="179">
        <v>100807002.6027088</v>
      </c>
      <c r="AO74" s="179">
        <v>141853360.89590216</v>
      </c>
      <c r="AP74" s="179">
        <v>232463022.67912227</v>
      </c>
      <c r="AQ74" s="179">
        <v>442337870.4265461</v>
      </c>
      <c r="AR74" s="179">
        <v>370687634.69757283</v>
      </c>
      <c r="AS74" s="179">
        <v>621117885.66850269</v>
      </c>
      <c r="AT74" s="179">
        <v>1045998496.4387157</v>
      </c>
      <c r="AU74" s="179">
        <v>1461139022.0295386</v>
      </c>
      <c r="AV74" s="179">
        <v>1806742742.2731116</v>
      </c>
      <c r="AW74" s="179">
        <v>2484745935.0932889</v>
      </c>
      <c r="AX74" s="179">
        <v>4410764338.667325</v>
      </c>
      <c r="AY74" s="179">
        <v>8217369092.6522379</v>
      </c>
      <c r="AZ74" s="179">
        <v>10086528698.86043</v>
      </c>
      <c r="BA74" s="179">
        <v>13071718758.737305</v>
      </c>
      <c r="BB74" s="179">
        <v>19749893536.320362</v>
      </c>
      <c r="BC74" s="179">
        <v>15027795173.218706</v>
      </c>
      <c r="BD74" s="179">
        <v>16314443428.939247</v>
      </c>
      <c r="BE74" s="179">
        <v>21357343681.894913</v>
      </c>
      <c r="BF74" s="179">
        <v>22388344123.993763</v>
      </c>
      <c r="BG74" s="179">
        <v>21948834290.352131</v>
      </c>
      <c r="BH74" s="179">
        <v>21765453087.479008</v>
      </c>
      <c r="BI74" s="179">
        <v>13185496881.405239</v>
      </c>
      <c r="BJ74" s="179">
        <v>11240808846.692385</v>
      </c>
      <c r="BK74" s="179">
        <v>12200913887.642757</v>
      </c>
      <c r="BL74" s="179">
        <v>13097012124.226074</v>
      </c>
      <c r="BM74" s="179">
        <v>11364133546.249392</v>
      </c>
      <c r="BN74" s="179">
        <v>10099157995.578859</v>
      </c>
      <c r="BO74" s="179">
        <v>12269393392.157854</v>
      </c>
      <c r="BP74" s="179">
        <v>11813908447.813124</v>
      </c>
    </row>
    <row r="75" spans="1:68">
      <c r="A75" s="179" t="s">
        <v>620</v>
      </c>
      <c r="B75" s="179">
        <f t="shared" si="1"/>
        <v>1</v>
      </c>
      <c r="C75" s="179" t="s">
        <v>621</v>
      </c>
      <c r="D75" s="179" t="s">
        <v>494</v>
      </c>
      <c r="E75" s="179" t="s">
        <v>495</v>
      </c>
      <c r="AL75" s="179">
        <v>477101651.64837557</v>
      </c>
      <c r="AM75" s="179">
        <v>467872714.75560319</v>
      </c>
      <c r="AN75" s="179">
        <v>531688311.6883117</v>
      </c>
      <c r="AO75" s="179">
        <v>578015625</v>
      </c>
      <c r="AP75" s="179">
        <v>693535954.19006717</v>
      </c>
      <c r="AQ75" s="179">
        <v>686490090.14014077</v>
      </c>
      <c r="AR75" s="179">
        <v>745523074.70532632</v>
      </c>
      <c r="AS75" s="179">
        <v>688918508.94802928</v>
      </c>
      <c r="AT75" s="179">
        <v>706370815.58441556</v>
      </c>
      <c r="AU75" s="179">
        <v>752371683.19936144</v>
      </c>
      <c r="AV75" s="179">
        <v>729321671.44591653</v>
      </c>
      <c r="AW75" s="179">
        <v>870248293.67830348</v>
      </c>
      <c r="AX75" s="179">
        <v>1109054005.4397099</v>
      </c>
      <c r="AY75" s="179">
        <v>1098424709.486753</v>
      </c>
      <c r="AZ75" s="179">
        <v>1211161879.6747968</v>
      </c>
      <c r="BA75" s="179">
        <v>1317974491.0569105</v>
      </c>
      <c r="BB75" s="179">
        <v>1380188800</v>
      </c>
      <c r="BC75" s="179">
        <v>1856695551.2195122</v>
      </c>
      <c r="BD75" s="179">
        <v>1589515447.1544716</v>
      </c>
      <c r="BE75" s="179">
        <v>2065001626.0162601</v>
      </c>
    </row>
    <row r="76" spans="1:68">
      <c r="A76" s="179" t="s">
        <v>623</v>
      </c>
      <c r="B76" s="179">
        <f t="shared" si="1"/>
        <v>1</v>
      </c>
      <c r="C76" s="179" t="s">
        <v>624</v>
      </c>
      <c r="D76" s="179" t="s">
        <v>494</v>
      </c>
      <c r="E76" s="179" t="s">
        <v>495</v>
      </c>
      <c r="AO76" s="179">
        <v>4502970889.0637293</v>
      </c>
      <c r="AP76" s="179">
        <v>4786018988.1649103</v>
      </c>
      <c r="AQ76" s="179">
        <v>5154420649.2335434</v>
      </c>
      <c r="AR76" s="179">
        <v>5674080542.8857489</v>
      </c>
      <c r="AS76" s="179">
        <v>5756912265.7580919</v>
      </c>
      <c r="AT76" s="179">
        <v>5686579747.535244</v>
      </c>
      <c r="AU76" s="179">
        <v>6254649538.9848719</v>
      </c>
      <c r="AV76" s="179">
        <v>7367975887.7272291</v>
      </c>
      <c r="AW76" s="179">
        <v>9874013098.4643173</v>
      </c>
      <c r="AX76" s="179">
        <v>12145911801.242235</v>
      </c>
      <c r="AY76" s="179">
        <v>14106790200.223852</v>
      </c>
      <c r="AZ76" s="179">
        <v>17022870405.218918</v>
      </c>
      <c r="BA76" s="179">
        <v>22449129482.617027</v>
      </c>
      <c r="BB76" s="179">
        <v>24341678628.973194</v>
      </c>
      <c r="BC76" s="179">
        <v>19633031397.610447</v>
      </c>
      <c r="BD76" s="179">
        <v>19523477325.623463</v>
      </c>
      <c r="BE76" s="179">
        <v>23213994093.463242</v>
      </c>
      <c r="BF76" s="179">
        <v>23019150071.186726</v>
      </c>
      <c r="BG76" s="179">
        <v>25115753366.111645</v>
      </c>
      <c r="BH76" s="179">
        <v>26634083965.098305</v>
      </c>
      <c r="BI76" s="179">
        <v>22890762090.150768</v>
      </c>
      <c r="BJ76" s="179">
        <v>24072829276.775043</v>
      </c>
      <c r="BK76" s="179">
        <v>26924385103.066174</v>
      </c>
      <c r="BL76" s="179">
        <v>30624720196.228451</v>
      </c>
      <c r="BM76" s="179">
        <v>31081901909.21508</v>
      </c>
      <c r="BN76" s="179">
        <v>31370395572.765308</v>
      </c>
      <c r="BO76" s="179">
        <v>37191166151.980026</v>
      </c>
      <c r="BP76" s="179">
        <v>38100812958.5196</v>
      </c>
    </row>
    <row r="77" spans="1:68">
      <c r="A77" s="179" t="s">
        <v>913</v>
      </c>
      <c r="B77" s="179">
        <f t="shared" si="1"/>
        <v>1</v>
      </c>
      <c r="C77" s="179" t="s">
        <v>914</v>
      </c>
      <c r="D77" s="179" t="s">
        <v>494</v>
      </c>
      <c r="E77" s="179" t="s">
        <v>495</v>
      </c>
      <c r="F77" s="179">
        <v>35076845.983292334</v>
      </c>
      <c r="G77" s="179">
        <v>43026042.80679328</v>
      </c>
      <c r="H77" s="179">
        <v>45927961.64718651</v>
      </c>
      <c r="I77" s="179">
        <v>54129438.369876407</v>
      </c>
      <c r="J77" s="179">
        <v>64980554.033770584</v>
      </c>
      <c r="K77" s="179">
        <v>70279971.916123196</v>
      </c>
      <c r="L77" s="179">
        <v>76859969.286756247</v>
      </c>
      <c r="M77" s="179">
        <v>74759970.125915915</v>
      </c>
      <c r="N77" s="179">
        <v>79799968.11193271</v>
      </c>
      <c r="O77" s="179">
        <v>105419957.8741848</v>
      </c>
      <c r="P77" s="179">
        <v>112139955.18887387</v>
      </c>
      <c r="Q77" s="179">
        <v>136462096.70485076</v>
      </c>
      <c r="R77" s="179">
        <v>146736433.95843878</v>
      </c>
      <c r="S77" s="179">
        <v>221915096.20545298</v>
      </c>
      <c r="T77" s="179">
        <v>264320939.5701516</v>
      </c>
      <c r="U77" s="179">
        <v>288299883.90664864</v>
      </c>
      <c r="V77" s="179">
        <v>272549999.76300001</v>
      </c>
      <c r="W77" s="179">
        <v>304059999.73559994</v>
      </c>
      <c r="X77" s="179">
        <v>340629999.70380002</v>
      </c>
      <c r="Y77" s="179">
        <v>412093133.76098835</v>
      </c>
      <c r="Z77" s="179">
        <v>541977035.40209138</v>
      </c>
      <c r="AA77" s="179">
        <v>570774862.06051743</v>
      </c>
      <c r="AB77" s="179">
        <v>537568142.05084848</v>
      </c>
      <c r="AC77" s="179">
        <v>555336145.8924998</v>
      </c>
      <c r="AD77" s="179">
        <v>494483241.3722983</v>
      </c>
      <c r="AE77" s="179">
        <v>360079419.48020464</v>
      </c>
      <c r="AF77" s="179">
        <v>449140383.95337349</v>
      </c>
      <c r="AG77" s="179">
        <v>584125996.62743008</v>
      </c>
      <c r="AH77" s="179">
        <v>692026606.93412149</v>
      </c>
      <c r="AI77" s="179">
        <v>696921409.51375079</v>
      </c>
      <c r="AJ77" s="179">
        <v>1114694112.4747782</v>
      </c>
      <c r="AK77" s="179">
        <v>1156135717.9459786</v>
      </c>
      <c r="AL77" s="179">
        <v>1284759852.4668372</v>
      </c>
      <c r="AM77" s="179">
        <v>1357189724.738282</v>
      </c>
      <c r="AN77" s="179">
        <v>1419294121.1812005</v>
      </c>
      <c r="AO77" s="179">
        <v>1698989463.9910562</v>
      </c>
      <c r="AP77" s="179">
        <v>1602741771.5743396</v>
      </c>
      <c r="AQ77" s="179">
        <v>1716714194.309341</v>
      </c>
      <c r="AR77" s="179">
        <v>1576908808.8061068</v>
      </c>
      <c r="AS77" s="179">
        <v>1547888453.7578928</v>
      </c>
      <c r="AT77" s="179">
        <v>1738093756.8820755</v>
      </c>
      <c r="AU77" s="179">
        <v>1542477308.8940773</v>
      </c>
      <c r="AV77" s="179">
        <v>1432221784.415015</v>
      </c>
      <c r="AW77" s="179">
        <v>2197598417.8369422</v>
      </c>
      <c r="AX77" s="179">
        <v>2770082791.504118</v>
      </c>
      <c r="AY77" s="179">
        <v>3178112332.0937734</v>
      </c>
      <c r="AZ77" s="179">
        <v>3291329938.1640744</v>
      </c>
      <c r="BA77" s="179">
        <v>3469381231.4904904</v>
      </c>
      <c r="BB77" s="179">
        <v>3294084181.237082</v>
      </c>
      <c r="BC77" s="179">
        <v>3580427985.9481592</v>
      </c>
      <c r="BD77" s="179">
        <v>4438765109.4903612</v>
      </c>
      <c r="BE77" s="179">
        <v>4820478592.3350306</v>
      </c>
      <c r="BF77" s="179">
        <v>4886551706.1844082</v>
      </c>
      <c r="BG77" s="179">
        <v>4597552948.6464901</v>
      </c>
      <c r="BH77" s="179">
        <v>4422986447.489583</v>
      </c>
      <c r="BI77" s="179">
        <v>4063245671.2928457</v>
      </c>
      <c r="BJ77" s="179">
        <v>3816019222.862679</v>
      </c>
      <c r="BK77" s="179">
        <v>4402969225.9216471</v>
      </c>
      <c r="BL77" s="179">
        <v>4666598023.9185581</v>
      </c>
      <c r="BM77" s="179">
        <v>4466214522.1953907</v>
      </c>
      <c r="BN77" s="179">
        <v>3982236726.3678017</v>
      </c>
      <c r="BO77" s="179">
        <v>4748702400.6628313</v>
      </c>
      <c r="BP77" s="179">
        <v>4854167638.3738842</v>
      </c>
    </row>
    <row r="78" spans="1:68">
      <c r="A78" s="179" t="s">
        <v>625</v>
      </c>
      <c r="B78" s="179">
        <f t="shared" si="1"/>
        <v>1</v>
      </c>
      <c r="C78" s="179" t="s">
        <v>626</v>
      </c>
      <c r="D78" s="179" t="s">
        <v>494</v>
      </c>
      <c r="E78" s="179" t="s">
        <v>495</v>
      </c>
      <c r="AA78" s="179">
        <v>7324903191.944397</v>
      </c>
      <c r="AB78" s="179">
        <v>7707678023.0471869</v>
      </c>
      <c r="AC78" s="179">
        <v>8567890825.3951159</v>
      </c>
      <c r="AD78" s="179">
        <v>8096302370.7350903</v>
      </c>
      <c r="AE78" s="179">
        <v>9480840483.0917873</v>
      </c>
      <c r="AF78" s="179">
        <v>9848600869.565218</v>
      </c>
      <c r="AG78" s="179">
        <v>10527338647.342997</v>
      </c>
      <c r="AH78" s="179">
        <v>10908935748.792271</v>
      </c>
      <c r="AI78" s="179">
        <v>11476584879.227055</v>
      </c>
      <c r="AJ78" s="179">
        <v>12175166763.285025</v>
      </c>
      <c r="AK78" s="179">
        <v>13463868357.487925</v>
      </c>
      <c r="AL78" s="179">
        <v>10492993077.609276</v>
      </c>
      <c r="AM78" s="179">
        <v>8830712713.9078121</v>
      </c>
      <c r="AN78" s="179">
        <v>6927950564.5565681</v>
      </c>
      <c r="AO78" s="179">
        <v>7663984567.9012346</v>
      </c>
      <c r="AP78" s="179">
        <v>8547939730.623744</v>
      </c>
      <c r="AQ78" s="179">
        <v>8589233419.5941086</v>
      </c>
      <c r="AR78" s="179">
        <v>7818205971.602313</v>
      </c>
      <c r="AS78" s="179">
        <v>7700833482.0061502</v>
      </c>
      <c r="AT78" s="179">
        <v>8242349955.0511074</v>
      </c>
      <c r="AU78" s="179">
        <v>8231326016.4749403</v>
      </c>
      <c r="AV78" s="179">
        <v>7850809498.1680269</v>
      </c>
      <c r="AW78" s="179">
        <v>8623691300.0407887</v>
      </c>
      <c r="AX78" s="179">
        <v>10131187261.442078</v>
      </c>
      <c r="AY78" s="179">
        <v>12401139453.973831</v>
      </c>
      <c r="AZ78" s="179">
        <v>15280861834.602404</v>
      </c>
      <c r="BA78" s="179">
        <v>19707616772.799637</v>
      </c>
      <c r="BB78" s="179">
        <v>27066912635.222847</v>
      </c>
      <c r="BC78" s="179">
        <v>32437389116.038006</v>
      </c>
      <c r="BD78" s="179">
        <v>29933790334.341789</v>
      </c>
      <c r="BE78" s="179">
        <v>31952763089.330025</v>
      </c>
      <c r="BF78" s="179">
        <v>43310721414.082878</v>
      </c>
      <c r="BG78" s="179">
        <v>47648276190.297699</v>
      </c>
      <c r="BH78" s="179">
        <v>55612228233.51786</v>
      </c>
      <c r="BI78" s="179">
        <v>64589329344.693703</v>
      </c>
      <c r="BJ78" s="179">
        <v>74296745599.004761</v>
      </c>
      <c r="BK78" s="179">
        <v>81770886908.519836</v>
      </c>
      <c r="BL78" s="179">
        <v>84269196152.033264</v>
      </c>
      <c r="BM78" s="179">
        <v>95912607970.168594</v>
      </c>
      <c r="BN78" s="179">
        <v>107657734392.44585</v>
      </c>
      <c r="BO78" s="179">
        <v>111261882913.3419</v>
      </c>
      <c r="BP78" s="179">
        <v>126783472501.13449</v>
      </c>
    </row>
    <row r="79" spans="1:68">
      <c r="A79" s="179" t="s">
        <v>618</v>
      </c>
      <c r="B79" s="179">
        <f t="shared" si="1"/>
        <v>0</v>
      </c>
      <c r="C79" s="179" t="s">
        <v>619</v>
      </c>
      <c r="D79" s="179" t="s">
        <v>494</v>
      </c>
      <c r="E79" s="179" t="s">
        <v>495</v>
      </c>
      <c r="F79" s="179">
        <v>244832979621.28586</v>
      </c>
      <c r="G79" s="179">
        <v>268965206140.91507</v>
      </c>
      <c r="H79" s="179">
        <v>298819073251.17664</v>
      </c>
      <c r="I79" s="179">
        <v>335341767111.29962</v>
      </c>
      <c r="J79" s="179">
        <v>373024154759.5473</v>
      </c>
      <c r="K79" s="179">
        <v>407740569138.29138</v>
      </c>
      <c r="L79" s="179">
        <v>444882753309.62152</v>
      </c>
      <c r="M79" s="179">
        <v>483418609566.27429</v>
      </c>
      <c r="N79" s="179">
        <v>518991679523.80115</v>
      </c>
      <c r="O79" s="179">
        <v>579332897735.76318</v>
      </c>
      <c r="P79" s="179">
        <v>642618205440.96606</v>
      </c>
      <c r="Q79" s="179">
        <v>728350687665.19287</v>
      </c>
      <c r="R79" s="179">
        <v>879866451210.21094</v>
      </c>
      <c r="S79" s="179">
        <v>1142236798783.0139</v>
      </c>
      <c r="T79" s="179">
        <v>1295369935840.4377</v>
      </c>
      <c r="U79" s="179">
        <v>1501998691902.0674</v>
      </c>
      <c r="V79" s="179">
        <v>1567495790394.2302</v>
      </c>
      <c r="W79" s="179">
        <v>1782978319993.5725</v>
      </c>
      <c r="X79" s="179">
        <v>2183343936515.7058</v>
      </c>
      <c r="Y79" s="179">
        <v>2644833842318.6602</v>
      </c>
      <c r="Z79" s="179">
        <v>2962181083319.0312</v>
      </c>
      <c r="AA79" s="179">
        <v>2574375219647.7417</v>
      </c>
      <c r="AB79" s="179">
        <v>2492495326231.0708</v>
      </c>
      <c r="AC79" s="179">
        <v>2431611024346.6528</v>
      </c>
      <c r="AD79" s="179">
        <v>2332403164199.5049</v>
      </c>
      <c r="AE79" s="179">
        <v>2396184860778.4907</v>
      </c>
      <c r="AF79" s="179">
        <v>3362907352245.5723</v>
      </c>
      <c r="AG79" s="179">
        <v>4159431451515.9004</v>
      </c>
      <c r="AH79" s="179">
        <v>4574521460012.7383</v>
      </c>
      <c r="AI79" s="179">
        <v>4672689376253.4248</v>
      </c>
      <c r="AJ79" s="179">
        <v>5880688023843.2617</v>
      </c>
      <c r="AK79" s="179">
        <v>6114122875186.2158</v>
      </c>
      <c r="AL79" s="179">
        <v>6745618204470.3848</v>
      </c>
      <c r="AM79" s="179">
        <v>6172471796791.9883</v>
      </c>
      <c r="AN79" s="179">
        <v>6515617848992.9805</v>
      </c>
      <c r="AO79" s="179">
        <v>7515452849974.9443</v>
      </c>
      <c r="AP79" s="179">
        <v>7604358498831.918</v>
      </c>
      <c r="AQ79" s="179">
        <v>6952189647138.4297</v>
      </c>
      <c r="AR79" s="179">
        <v>7149215002406.3809</v>
      </c>
      <c r="AS79" s="179">
        <v>7116212677298.501</v>
      </c>
      <c r="AT79" s="179">
        <v>6495755148668.9121</v>
      </c>
      <c r="AU79" s="179">
        <v>6596586819720.334</v>
      </c>
      <c r="AV79" s="179">
        <v>7200156656955.418</v>
      </c>
      <c r="AW79" s="179">
        <v>8862330817568.418</v>
      </c>
      <c r="AX79" s="179">
        <v>10160398631608.842</v>
      </c>
      <c r="AY79" s="179">
        <v>10523525439926.82</v>
      </c>
      <c r="AZ79" s="179">
        <v>11184044960382.437</v>
      </c>
      <c r="BA79" s="179">
        <v>12879111960143.525</v>
      </c>
      <c r="BB79" s="179">
        <v>14158257793140.352</v>
      </c>
      <c r="BC79" s="179">
        <v>12938506838994.781</v>
      </c>
      <c r="BD79" s="179">
        <v>12641745700258.459</v>
      </c>
      <c r="BE79" s="179">
        <v>13637891491638.939</v>
      </c>
      <c r="BF79" s="179">
        <v>12638777298888.457</v>
      </c>
      <c r="BG79" s="179">
        <v>13196293606325.521</v>
      </c>
      <c r="BH79" s="179">
        <v>13510069962193.664</v>
      </c>
      <c r="BI79" s="179">
        <v>11675505777208.625</v>
      </c>
      <c r="BJ79" s="179">
        <v>11973696253892.754</v>
      </c>
      <c r="BK79" s="179">
        <v>12679719055232.582</v>
      </c>
      <c r="BL79" s="179">
        <v>13698192927474.459</v>
      </c>
      <c r="BM79" s="179">
        <v>13418360523881.52</v>
      </c>
      <c r="BN79" s="179">
        <v>13086148411425.059</v>
      </c>
      <c r="BO79" s="179">
        <v>14570891691511.682</v>
      </c>
      <c r="BP79" s="179">
        <v>14040893546587.25</v>
      </c>
    </row>
    <row r="80" spans="1:68">
      <c r="A80" s="179" t="s">
        <v>613</v>
      </c>
      <c r="B80" s="179">
        <f t="shared" si="1"/>
        <v>0</v>
      </c>
      <c r="C80" s="179" t="s">
        <v>614</v>
      </c>
      <c r="D80" s="179" t="s">
        <v>494</v>
      </c>
      <c r="E80" s="179" t="s">
        <v>495</v>
      </c>
      <c r="L80" s="179">
        <v>739191741175.26624</v>
      </c>
      <c r="M80" s="179">
        <v>796059940230.1925</v>
      </c>
      <c r="N80" s="179">
        <v>832721275093.07874</v>
      </c>
      <c r="O80" s="179">
        <v>921043624554.66235</v>
      </c>
      <c r="P80" s="179">
        <v>1019416869668.7385</v>
      </c>
      <c r="Q80" s="179">
        <v>1149365465569.7593</v>
      </c>
      <c r="R80" s="179">
        <v>1377130817922.6057</v>
      </c>
      <c r="S80" s="179">
        <v>1749169483519.0149</v>
      </c>
      <c r="T80" s="179">
        <v>1976490376080.6309</v>
      </c>
      <c r="U80" s="179">
        <v>2308913172421.8364</v>
      </c>
      <c r="V80" s="179">
        <v>2400124921855.167</v>
      </c>
      <c r="W80" s="179">
        <v>2720075903675.6284</v>
      </c>
      <c r="X80" s="179">
        <v>3319817103756.0942</v>
      </c>
      <c r="Y80" s="179">
        <v>4061208581428.3423</v>
      </c>
      <c r="Z80" s="179">
        <v>4599944656870.6855</v>
      </c>
      <c r="AA80" s="179">
        <v>4093971565028.1836</v>
      </c>
      <c r="AB80" s="179">
        <v>3945237401488.6582</v>
      </c>
      <c r="AC80" s="179">
        <v>3827325614602.1514</v>
      </c>
      <c r="AD80" s="179">
        <v>3678603570653.7524</v>
      </c>
      <c r="AE80" s="179">
        <v>3806796130068.0317</v>
      </c>
      <c r="AF80" s="179">
        <v>5196005238392.334</v>
      </c>
      <c r="AG80" s="179">
        <v>6420601838951.3242</v>
      </c>
      <c r="AH80" s="179">
        <v>7147035857245.4678</v>
      </c>
      <c r="AI80" s="179">
        <v>7242068229580.1357</v>
      </c>
      <c r="AJ80" s="179">
        <v>8860001405151.1699</v>
      </c>
      <c r="AK80" s="179">
        <v>9139950356709.0273</v>
      </c>
      <c r="AL80" s="179">
        <v>9801538419939.5859</v>
      </c>
      <c r="AM80" s="179">
        <v>9003041853259.334</v>
      </c>
      <c r="AN80" s="179">
        <v>9412894014587.8848</v>
      </c>
      <c r="AO80" s="179">
        <v>10871362174018.732</v>
      </c>
      <c r="AP80" s="179">
        <v>11096209984371.221</v>
      </c>
      <c r="AQ80" s="179">
        <v>10522983199953.439</v>
      </c>
      <c r="AR80" s="179">
        <v>10795976125256.889</v>
      </c>
      <c r="AS80" s="179">
        <v>10678007624358.84</v>
      </c>
      <c r="AT80" s="179">
        <v>10066421859249.17</v>
      </c>
      <c r="AU80" s="179">
        <v>10167228168694.467</v>
      </c>
      <c r="AV80" s="179">
        <v>11134372565307.166</v>
      </c>
      <c r="AW80" s="179">
        <v>13536888371227.609</v>
      </c>
      <c r="AX80" s="179">
        <v>15777100065927.426</v>
      </c>
      <c r="AY80" s="179">
        <v>16782544224445.127</v>
      </c>
      <c r="AZ80" s="179">
        <v>18169184200684.148</v>
      </c>
      <c r="BA80" s="179">
        <v>21230055608752.945</v>
      </c>
      <c r="BB80" s="179">
        <v>23365417649314.676</v>
      </c>
      <c r="BC80" s="179">
        <v>20549545129765.73</v>
      </c>
      <c r="BD80" s="179">
        <v>21022097952360.348</v>
      </c>
      <c r="BE80" s="179">
        <v>23307862167328.793</v>
      </c>
      <c r="BF80" s="179">
        <v>22452882595862.34</v>
      </c>
      <c r="BG80" s="179">
        <v>23456119535713.437</v>
      </c>
      <c r="BH80" s="179">
        <v>23783762693462.797</v>
      </c>
      <c r="BI80" s="179">
        <v>20487299241754.543</v>
      </c>
      <c r="BJ80" s="179">
        <v>20419509740630.137</v>
      </c>
      <c r="BK80" s="179">
        <v>21655200512836.195</v>
      </c>
      <c r="BL80" s="179">
        <v>23193777815580.391</v>
      </c>
      <c r="BM80" s="179">
        <v>22910270792580.594</v>
      </c>
      <c r="BN80" s="179">
        <v>22150021659550.117</v>
      </c>
      <c r="BO80" s="179">
        <v>25153884144575.574</v>
      </c>
      <c r="BP80" s="179">
        <v>25192037594848.613</v>
      </c>
    </row>
    <row r="81" spans="1:68">
      <c r="A81" s="179" t="s">
        <v>611</v>
      </c>
      <c r="B81" s="179">
        <f t="shared" si="1"/>
        <v>0</v>
      </c>
      <c r="C81" s="179" t="s">
        <v>612</v>
      </c>
      <c r="D81" s="179" t="s">
        <v>494</v>
      </c>
      <c r="E81" s="179" t="s">
        <v>495</v>
      </c>
      <c r="AH81" s="179">
        <v>862085298434.64563</v>
      </c>
      <c r="AI81" s="179">
        <v>834089891182.09558</v>
      </c>
      <c r="AJ81" s="179">
        <v>893030485494.27563</v>
      </c>
      <c r="AK81" s="179">
        <v>868754964105.50879</v>
      </c>
      <c r="AL81" s="179">
        <v>799090648379.3728</v>
      </c>
      <c r="AM81" s="179">
        <v>785130736517.81824</v>
      </c>
      <c r="AN81" s="179">
        <v>674026502861.23364</v>
      </c>
      <c r="AO81" s="179">
        <v>721539047178.5481</v>
      </c>
      <c r="AP81" s="179">
        <v>729341868564.71045</v>
      </c>
      <c r="AQ81" s="179">
        <v>761415145986.35645</v>
      </c>
      <c r="AR81" s="179">
        <v>705490554240.29675</v>
      </c>
      <c r="AS81" s="179">
        <v>591797958891.08923</v>
      </c>
      <c r="AT81" s="179">
        <v>662865829213.56372</v>
      </c>
      <c r="AU81" s="179">
        <v>655068103160.56702</v>
      </c>
      <c r="AV81" s="179">
        <v>750707698399.93237</v>
      </c>
      <c r="AW81" s="179">
        <v>947224168366.43506</v>
      </c>
      <c r="AX81" s="179">
        <v>1256021604553.7529</v>
      </c>
      <c r="AY81" s="179">
        <v>1589623215078.9211</v>
      </c>
      <c r="AZ81" s="179">
        <v>1950105723610.6965</v>
      </c>
      <c r="BA81" s="179">
        <v>2509469361144.8921</v>
      </c>
      <c r="BB81" s="179">
        <v>3110393199188.0757</v>
      </c>
      <c r="BC81" s="179">
        <v>2437810986692.6411</v>
      </c>
      <c r="BD81" s="179">
        <v>2953116796718.1943</v>
      </c>
      <c r="BE81" s="179">
        <v>3670089875344.1113</v>
      </c>
      <c r="BF81" s="179">
        <v>3914684841121.4463</v>
      </c>
      <c r="BG81" s="179">
        <v>4150272500477.5654</v>
      </c>
      <c r="BH81" s="179">
        <v>3845774153167.2056</v>
      </c>
      <c r="BI81" s="179">
        <v>2921688285552.2598</v>
      </c>
      <c r="BJ81" s="179">
        <v>2777867803805.5928</v>
      </c>
      <c r="BK81" s="179">
        <v>3118424956384.8242</v>
      </c>
      <c r="BL81" s="179">
        <v>3182909933137.877</v>
      </c>
      <c r="BM81" s="179">
        <v>3248044237780.6865</v>
      </c>
      <c r="BN81" s="179">
        <v>2990896567052.3081</v>
      </c>
      <c r="BO81" s="179">
        <v>3581677715819.8511</v>
      </c>
      <c r="BP81" s="179">
        <v>4124699980830.4565</v>
      </c>
    </row>
    <row r="82" spans="1:68">
      <c r="A82" s="179" t="s">
        <v>926</v>
      </c>
      <c r="B82" s="179">
        <f t="shared" si="1"/>
        <v>0</v>
      </c>
      <c r="C82" s="179" t="s">
        <v>927</v>
      </c>
      <c r="D82" s="179" t="s">
        <v>494</v>
      </c>
      <c r="E82" s="179" t="s">
        <v>495</v>
      </c>
      <c r="AH82" s="179">
        <v>988478286834.95581</v>
      </c>
      <c r="AI82" s="179">
        <v>959311297803.81445</v>
      </c>
      <c r="AJ82" s="179">
        <v>1019407140680.2427</v>
      </c>
      <c r="AK82" s="179">
        <v>1005323422102.0084</v>
      </c>
      <c r="AL82" s="179">
        <v>939714425054.60425</v>
      </c>
      <c r="AM82" s="179">
        <v>928587913954.41882</v>
      </c>
      <c r="AN82" s="179">
        <v>834808706479.04407</v>
      </c>
      <c r="AO82" s="179">
        <v>924003946473.74976</v>
      </c>
      <c r="AP82" s="179">
        <v>950622147030.59241</v>
      </c>
      <c r="AQ82" s="179">
        <v>980494801830.29419</v>
      </c>
      <c r="AR82" s="179">
        <v>947828497154.12512</v>
      </c>
      <c r="AS82" s="179">
        <v>821675687106.13708</v>
      </c>
      <c r="AT82" s="179">
        <v>894544912879.61023</v>
      </c>
      <c r="AU82" s="179">
        <v>909540989189.30798</v>
      </c>
      <c r="AV82" s="179">
        <v>1022699841892.1848</v>
      </c>
      <c r="AW82" s="179">
        <v>1258196381063.0225</v>
      </c>
      <c r="AX82" s="179">
        <v>1628013726359.2434</v>
      </c>
      <c r="AY82" s="179">
        <v>2039291725254.946</v>
      </c>
      <c r="AZ82" s="179">
        <v>2466294505435.1362</v>
      </c>
      <c r="BA82" s="179">
        <v>3172257385086.2153</v>
      </c>
      <c r="BB82" s="179">
        <v>3926652288409.168</v>
      </c>
      <c r="BC82" s="179">
        <v>3113586357347.7173</v>
      </c>
      <c r="BD82" s="179">
        <v>3657536381245.6191</v>
      </c>
      <c r="BE82" s="179">
        <v>4449677432130.8437</v>
      </c>
      <c r="BF82" s="179">
        <v>4646279764256.9727</v>
      </c>
      <c r="BG82" s="179">
        <v>4915186910591.0205</v>
      </c>
      <c r="BH82" s="179">
        <v>4643782927094.0645</v>
      </c>
      <c r="BI82" s="179">
        <v>3627425557555.8276</v>
      </c>
      <c r="BJ82" s="179">
        <v>3485571017748.0454</v>
      </c>
      <c r="BK82" s="179">
        <v>3909150827560.0303</v>
      </c>
      <c r="BL82" s="179">
        <v>4076336318031.9717</v>
      </c>
      <c r="BM82" s="179">
        <v>4156449775997.6011</v>
      </c>
      <c r="BN82" s="179">
        <v>3899326823730.1699</v>
      </c>
      <c r="BO82" s="179">
        <v>4615367974096.2627</v>
      </c>
      <c r="BP82" s="179">
        <v>5185102776173.9717</v>
      </c>
    </row>
    <row r="83" spans="1:68">
      <c r="A83" s="221" t="s">
        <v>627</v>
      </c>
      <c r="B83" s="179">
        <f t="shared" si="1"/>
        <v>0</v>
      </c>
      <c r="C83" s="179" t="s">
        <v>628</v>
      </c>
      <c r="D83" s="179" t="s">
        <v>494</v>
      </c>
      <c r="E83" s="179" t="s">
        <v>495</v>
      </c>
      <c r="P83" s="179">
        <v>725882274752.55115</v>
      </c>
      <c r="Q83" s="179">
        <v>820757717773.02246</v>
      </c>
      <c r="R83" s="179">
        <v>990362028045.83582</v>
      </c>
      <c r="S83" s="179">
        <v>1281934388219.4597</v>
      </c>
      <c r="T83" s="179">
        <v>1451652145420.3799</v>
      </c>
      <c r="U83" s="179">
        <v>1690761678269.72</v>
      </c>
      <c r="V83" s="179">
        <v>1769935314570.5483</v>
      </c>
      <c r="W83" s="179">
        <v>2004764968389.218</v>
      </c>
      <c r="X83" s="179">
        <v>2442532706245.0786</v>
      </c>
      <c r="Y83" s="179">
        <v>2952641158090.9019</v>
      </c>
      <c r="Z83" s="179">
        <v>3302960284315.5078</v>
      </c>
      <c r="AA83" s="179">
        <v>2879789914532.563</v>
      </c>
      <c r="AB83" s="179">
        <v>2777189622000.2866</v>
      </c>
      <c r="AC83" s="179">
        <v>2701887926641.7983</v>
      </c>
      <c r="AD83" s="179">
        <v>2603220657105.8711</v>
      </c>
      <c r="AE83" s="179">
        <v>2677480780323.4023</v>
      </c>
      <c r="AF83" s="179">
        <v>3743790927546.5273</v>
      </c>
      <c r="AG83" s="179">
        <v>4630938021004.6846</v>
      </c>
      <c r="AH83" s="179">
        <v>5083942710178.2285</v>
      </c>
      <c r="AI83" s="179">
        <v>5193046311962.749</v>
      </c>
      <c r="AJ83" s="179">
        <v>6497762738132.1436</v>
      </c>
      <c r="AK83" s="179">
        <v>6735921579249.3262</v>
      </c>
      <c r="AL83" s="179">
        <v>7406344155354.1191</v>
      </c>
      <c r="AM83" s="179">
        <v>6761163265087.0137</v>
      </c>
      <c r="AN83" s="179">
        <v>7161927357609.7998</v>
      </c>
      <c r="AO83" s="179">
        <v>8295833072767.3848</v>
      </c>
      <c r="AP83" s="179">
        <v>8431357595824.374</v>
      </c>
      <c r="AQ83" s="179">
        <v>7733774323755.3906</v>
      </c>
      <c r="AR83" s="179">
        <v>7969828858391.9551</v>
      </c>
      <c r="AS83" s="179">
        <v>7925875793536.1543</v>
      </c>
      <c r="AT83" s="179">
        <v>7276637983680.5205</v>
      </c>
      <c r="AU83" s="179">
        <v>7393878987404.8359</v>
      </c>
      <c r="AV83" s="179">
        <v>8083741282668.4736</v>
      </c>
      <c r="AW83" s="179">
        <v>9932175155886</v>
      </c>
      <c r="AX83" s="179">
        <v>11418921613749.252</v>
      </c>
      <c r="AY83" s="179">
        <v>11910059838303.975</v>
      </c>
      <c r="AZ83" s="179">
        <v>12712564874685.105</v>
      </c>
      <c r="BA83" s="179">
        <v>14727376164775.461</v>
      </c>
      <c r="BB83" s="179">
        <v>16295205228567.268</v>
      </c>
      <c r="BC83" s="179">
        <v>14762588819490.098</v>
      </c>
      <c r="BD83" s="179">
        <v>14555972617838.324</v>
      </c>
      <c r="BE83" s="179">
        <v>15764817006876.984</v>
      </c>
      <c r="BF83" s="179">
        <v>14641967048097.084</v>
      </c>
      <c r="BG83" s="179">
        <v>15294848407438.24</v>
      </c>
      <c r="BH83" s="179">
        <v>15650588620201.967</v>
      </c>
      <c r="BI83" s="179">
        <v>13553055207692</v>
      </c>
      <c r="BJ83" s="179">
        <v>13889039447069.811</v>
      </c>
      <c r="BK83" s="179">
        <v>14764668937681.107</v>
      </c>
      <c r="BL83" s="179">
        <v>15979881686055.645</v>
      </c>
      <c r="BM83" s="179">
        <v>15692624900172.973</v>
      </c>
      <c r="BN83" s="179">
        <v>15370461303996.359</v>
      </c>
      <c r="BO83" s="179">
        <v>17187869517145.904</v>
      </c>
      <c r="BP83" s="179">
        <v>16641391923811.105</v>
      </c>
    </row>
    <row r="84" spans="1:68">
      <c r="A84" s="179" t="s">
        <v>636</v>
      </c>
      <c r="B84" s="179">
        <f t="shared" si="1"/>
        <v>0</v>
      </c>
      <c r="C84" s="179" t="s">
        <v>637</v>
      </c>
      <c r="D84" s="179" t="s">
        <v>494</v>
      </c>
      <c r="E84" s="179" t="s">
        <v>495</v>
      </c>
      <c r="AR84" s="179">
        <v>1104744290.2567239</v>
      </c>
      <c r="AS84" s="179">
        <v>1127684827.3568571</v>
      </c>
      <c r="AT84" s="179">
        <v>1067109508.6452018</v>
      </c>
      <c r="AU84" s="179">
        <v>1160268142.3688552</v>
      </c>
      <c r="AV84" s="179">
        <v>1275093662.3523519</v>
      </c>
      <c r="AW84" s="179">
        <v>1501941504.8914595</v>
      </c>
      <c r="AX84" s="179">
        <v>1724770866.7975645</v>
      </c>
      <c r="AY84" s="179">
        <v>1759739599.2269354</v>
      </c>
      <c r="AZ84" s="179">
        <v>2017680721.8025906</v>
      </c>
      <c r="BA84" s="179">
        <v>2339015384.9074197</v>
      </c>
      <c r="BB84" s="179">
        <v>2489873331.0263896</v>
      </c>
      <c r="BC84" s="179">
        <v>2296065312.8225522</v>
      </c>
      <c r="BD84" s="179">
        <v>2331796784.3600945</v>
      </c>
      <c r="BE84" s="179">
        <v>2505740886.2590709</v>
      </c>
      <c r="BF84" s="179">
        <v>2427200582.9111452</v>
      </c>
      <c r="BG84" s="179">
        <v>2690110671.241323</v>
      </c>
      <c r="BH84" s="179">
        <v>2914012852.340621</v>
      </c>
      <c r="BI84" s="179">
        <v>2573906035.5958357</v>
      </c>
      <c r="BJ84" s="179">
        <v>2813278761.275238</v>
      </c>
      <c r="BK84" s="179">
        <v>2980057167.7359519</v>
      </c>
      <c r="BL84" s="179">
        <v>3188601035.1907024</v>
      </c>
      <c r="BM84" s="179">
        <v>3275684065.1313915</v>
      </c>
      <c r="BN84" s="179">
        <v>3248670978.1016498</v>
      </c>
      <c r="BO84" s="179">
        <v>3649878680.2281122</v>
      </c>
    </row>
    <row r="85" spans="1:68">
      <c r="A85" s="179" t="s">
        <v>633</v>
      </c>
      <c r="B85" s="179">
        <f t="shared" si="1"/>
        <v>0</v>
      </c>
      <c r="C85" s="179" t="s">
        <v>634</v>
      </c>
      <c r="D85" s="179" t="s">
        <v>494</v>
      </c>
      <c r="E85" s="179" t="s">
        <v>495</v>
      </c>
      <c r="F85" s="179">
        <v>112328422.11308399</v>
      </c>
      <c r="G85" s="179">
        <v>116987784.91373882</v>
      </c>
      <c r="H85" s="179">
        <v>122906434.95781387</v>
      </c>
      <c r="I85" s="179">
        <v>129454728.62359904</v>
      </c>
      <c r="J85" s="179">
        <v>140032741.46832892</v>
      </c>
      <c r="K85" s="179">
        <v>147084750.03148219</v>
      </c>
      <c r="L85" s="179">
        <v>150603925.51585305</v>
      </c>
      <c r="M85" s="179">
        <v>162625885.86348379</v>
      </c>
      <c r="N85" s="179">
        <v>166952937.13500515</v>
      </c>
      <c r="O85" s="179">
        <v>182182067.70356816</v>
      </c>
      <c r="P85" s="179">
        <v>219878482.17356414</v>
      </c>
      <c r="Q85" s="179">
        <v>247749327.7212674</v>
      </c>
      <c r="R85" s="179">
        <v>316656759.38113195</v>
      </c>
      <c r="S85" s="179">
        <v>425950581.25945771</v>
      </c>
      <c r="T85" s="179">
        <v>558587216.56826556</v>
      </c>
      <c r="U85" s="179">
        <v>684282380.89354837</v>
      </c>
      <c r="V85" s="179">
        <v>694540494.5727402</v>
      </c>
      <c r="W85" s="179">
        <v>719501505.15092731</v>
      </c>
      <c r="X85" s="179">
        <v>829268135.24117136</v>
      </c>
      <c r="Y85" s="179">
        <v>1019691156.3685273</v>
      </c>
      <c r="Z85" s="179">
        <v>1202619307.7646616</v>
      </c>
      <c r="AA85" s="179">
        <v>1235627374.3754494</v>
      </c>
      <c r="AB85" s="179">
        <v>1194060371.3599176</v>
      </c>
      <c r="AC85" s="179">
        <v>1123084823.072782</v>
      </c>
      <c r="AD85" s="179">
        <v>1178001041.3424249</v>
      </c>
      <c r="AE85" s="179">
        <v>1141168779.5115707</v>
      </c>
      <c r="AF85" s="179">
        <v>1290267529.5684667</v>
      </c>
      <c r="AG85" s="179">
        <v>1177947649.4509723</v>
      </c>
      <c r="AH85" s="179">
        <v>1110009264.0606909</v>
      </c>
      <c r="AI85" s="179">
        <v>1182660000.0000026</v>
      </c>
      <c r="AJ85" s="179">
        <v>1337017258.5519054</v>
      </c>
      <c r="AK85" s="179">
        <v>1383883718.5267262</v>
      </c>
      <c r="AL85" s="179">
        <v>1532411208.9838684</v>
      </c>
      <c r="AM85" s="179">
        <v>1636101246.9394045</v>
      </c>
      <c r="AN85" s="179">
        <v>1825732092.5467432</v>
      </c>
      <c r="AO85" s="179">
        <v>1970301019.1988668</v>
      </c>
      <c r="AP85" s="179">
        <v>2128696643.6257393</v>
      </c>
      <c r="AQ85" s="179">
        <v>2090221137.0287633</v>
      </c>
      <c r="AR85" s="179">
        <v>1653146993.935019</v>
      </c>
      <c r="AS85" s="179">
        <v>1936459986.0379515</v>
      </c>
      <c r="AT85" s="179">
        <v>1678219507.8982911</v>
      </c>
      <c r="AU85" s="179">
        <v>1652462062.6388407</v>
      </c>
      <c r="AV85" s="179">
        <v>1833279985.367415</v>
      </c>
      <c r="AW85" s="179">
        <v>2300492002.0130219</v>
      </c>
      <c r="AX85" s="179">
        <v>2708078476.6301212</v>
      </c>
      <c r="AY85" s="179">
        <v>2980403464.5306616</v>
      </c>
      <c r="AZ85" s="179">
        <v>3076305452.8650646</v>
      </c>
      <c r="BA85" s="179">
        <v>3378314599.764019</v>
      </c>
      <c r="BB85" s="179">
        <v>3523185919.5582609</v>
      </c>
      <c r="BC85" s="179">
        <v>2870624635.6803193</v>
      </c>
      <c r="BD85" s="179">
        <v>3140167239.4686899</v>
      </c>
      <c r="BE85" s="179">
        <v>3779412255.4769435</v>
      </c>
      <c r="BF85" s="179">
        <v>3972028509.664495</v>
      </c>
      <c r="BG85" s="179">
        <v>4189968869.8172112</v>
      </c>
      <c r="BH85" s="179">
        <v>4857103846.729845</v>
      </c>
      <c r="BI85" s="179">
        <v>4682480303.9746895</v>
      </c>
      <c r="BJ85" s="179">
        <v>4930213787.5045147</v>
      </c>
      <c r="BK85" s="179">
        <v>5353468387.5601883</v>
      </c>
      <c r="BL85" s="179">
        <v>5581425890.9665098</v>
      </c>
      <c r="BM85" s="179">
        <v>5481692621.611248</v>
      </c>
      <c r="BN85" s="179">
        <v>4477030179.8312769</v>
      </c>
      <c r="BO85" s="179">
        <v>4296235427.5233946</v>
      </c>
      <c r="BP85" s="179">
        <v>4943248200.044096</v>
      </c>
    </row>
    <row r="86" spans="1:68">
      <c r="A86" s="179" t="s">
        <v>631</v>
      </c>
      <c r="B86" s="179">
        <f t="shared" si="1"/>
        <v>1</v>
      </c>
      <c r="C86" s="179" t="s">
        <v>632</v>
      </c>
      <c r="D86" s="179" t="s">
        <v>494</v>
      </c>
      <c r="E86" s="179" t="s">
        <v>495</v>
      </c>
      <c r="F86" s="179">
        <v>5224102195.5277081</v>
      </c>
      <c r="G86" s="179">
        <v>5921659485.0328388</v>
      </c>
      <c r="H86" s="179">
        <v>6340580854.390729</v>
      </c>
      <c r="I86" s="179">
        <v>6885920328.661869</v>
      </c>
      <c r="J86" s="179">
        <v>7766655085.7858801</v>
      </c>
      <c r="K86" s="179">
        <v>8589340019.0298481</v>
      </c>
      <c r="L86" s="179">
        <v>9208524504.8768425</v>
      </c>
      <c r="M86" s="179">
        <v>9368954010.3131962</v>
      </c>
      <c r="N86" s="179">
        <v>8823033880.3299313</v>
      </c>
      <c r="O86" s="179">
        <v>10070766720.501141</v>
      </c>
      <c r="P86" s="179">
        <v>11357516987.542469</v>
      </c>
      <c r="Q86" s="179">
        <v>12527405512.92981</v>
      </c>
      <c r="R86" s="179">
        <v>14743186119.873817</v>
      </c>
      <c r="S86" s="179">
        <v>19472363466.625172</v>
      </c>
      <c r="T86" s="179">
        <v>24848821490.467937</v>
      </c>
      <c r="U86" s="179">
        <v>29472623242.282204</v>
      </c>
      <c r="V86" s="179">
        <v>31849513771.349438</v>
      </c>
      <c r="W86" s="179">
        <v>33499799321.233585</v>
      </c>
      <c r="X86" s="179">
        <v>36256160288.808662</v>
      </c>
      <c r="Y86" s="179">
        <v>44465255686.154785</v>
      </c>
      <c r="Z86" s="179">
        <v>53645202422.696846</v>
      </c>
      <c r="AA86" s="179">
        <v>52448332874.069992</v>
      </c>
      <c r="AB86" s="179">
        <v>52797582336.252625</v>
      </c>
      <c r="AC86" s="179">
        <v>50973526900.085396</v>
      </c>
      <c r="AD86" s="179">
        <v>52888800949.742783</v>
      </c>
      <c r="AE86" s="179">
        <v>55875863392.171913</v>
      </c>
      <c r="AF86" s="179">
        <v>73531550551.25499</v>
      </c>
      <c r="AG86" s="179">
        <v>91594751792.235901</v>
      </c>
      <c r="AH86" s="179">
        <v>109058990760.48329</v>
      </c>
      <c r="AI86" s="179">
        <v>119012054870.44478</v>
      </c>
      <c r="AJ86" s="179">
        <v>141438345513.91696</v>
      </c>
      <c r="AK86" s="179">
        <v>127773856785.76678</v>
      </c>
      <c r="AL86" s="179">
        <v>112532519246.08443</v>
      </c>
      <c r="AM86" s="179">
        <v>89214114708.025406</v>
      </c>
      <c r="AN86" s="179">
        <v>103299943084.80365</v>
      </c>
      <c r="AO86" s="179">
        <v>134189814814.8148</v>
      </c>
      <c r="AP86" s="179">
        <v>132129174216.92986</v>
      </c>
      <c r="AQ86" s="179">
        <v>126912152101.70656</v>
      </c>
      <c r="AR86" s="179">
        <v>134038718291.05473</v>
      </c>
      <c r="AS86" s="179">
        <v>135264083658.68756</v>
      </c>
      <c r="AT86" s="179">
        <v>126019543413.3336</v>
      </c>
      <c r="AU86" s="179">
        <v>129533107311.81119</v>
      </c>
      <c r="AV86" s="179">
        <v>140404460203.13751</v>
      </c>
      <c r="AW86" s="179">
        <v>171652458349.41141</v>
      </c>
      <c r="AX86" s="179">
        <v>197479443979.15109</v>
      </c>
      <c r="AY86" s="179">
        <v>204885494686.38123</v>
      </c>
      <c r="AZ86" s="179">
        <v>217089269791.7644</v>
      </c>
      <c r="BA86" s="179">
        <v>256378067752.15768</v>
      </c>
      <c r="BB86" s="179">
        <v>285716311136.71869</v>
      </c>
      <c r="BC86" s="179">
        <v>253497520828.51544</v>
      </c>
      <c r="BD86" s="179">
        <v>249424310816.6731</v>
      </c>
      <c r="BE86" s="179">
        <v>275604356167.31763</v>
      </c>
      <c r="BF86" s="179">
        <v>258290060227.73444</v>
      </c>
      <c r="BG86" s="179">
        <v>271362405890.59116</v>
      </c>
      <c r="BH86" s="179">
        <v>274862826772.15152</v>
      </c>
      <c r="BI86" s="179">
        <v>234534382384.7655</v>
      </c>
      <c r="BJ86" s="179">
        <v>240771351298.83994</v>
      </c>
      <c r="BK86" s="179">
        <v>255647979916.47333</v>
      </c>
      <c r="BL86" s="179">
        <v>275708001767.83801</v>
      </c>
      <c r="BM86" s="179">
        <v>268514916972.54379</v>
      </c>
      <c r="BN86" s="179">
        <v>271886077382.09726</v>
      </c>
      <c r="BO86" s="179">
        <v>296387625263.56116</v>
      </c>
      <c r="BP86" s="179">
        <v>280825957768.48358</v>
      </c>
    </row>
    <row r="87" spans="1:68">
      <c r="A87" s="179" t="s">
        <v>629</v>
      </c>
      <c r="B87" s="179">
        <f t="shared" si="1"/>
        <v>0</v>
      </c>
      <c r="C87" s="179" t="s">
        <v>630</v>
      </c>
      <c r="D87" s="179" t="s">
        <v>494</v>
      </c>
      <c r="E87" s="179" t="s">
        <v>495</v>
      </c>
      <c r="N87" s="179">
        <v>47573059713.525909</v>
      </c>
      <c r="O87" s="179">
        <v>53047000528.579666</v>
      </c>
      <c r="P87" s="179">
        <v>64779731305.445229</v>
      </c>
      <c r="Q87" s="179">
        <v>65674584279.189568</v>
      </c>
      <c r="R87" s="179">
        <v>75186521183.907974</v>
      </c>
      <c r="S87" s="179">
        <v>92162608018.097595</v>
      </c>
      <c r="T87" s="179">
        <v>137116311356.88686</v>
      </c>
      <c r="U87" s="179">
        <v>153853392733.67242</v>
      </c>
      <c r="V87" s="179">
        <v>181038395800.65295</v>
      </c>
      <c r="W87" s="179">
        <v>199022597842.86383</v>
      </c>
      <c r="X87" s="179">
        <v>221696773332.20602</v>
      </c>
      <c r="Y87" s="179">
        <v>278371860287.19238</v>
      </c>
      <c r="Z87" s="179">
        <v>349251273241.36139</v>
      </c>
      <c r="AA87" s="179">
        <v>487073667103.6673</v>
      </c>
      <c r="AB87" s="179">
        <v>466093357291.09528</v>
      </c>
      <c r="AC87" s="179">
        <v>396969411755.86218</v>
      </c>
      <c r="AD87" s="179">
        <v>358699789769.64227</v>
      </c>
      <c r="AE87" s="179">
        <v>366451346774.27509</v>
      </c>
      <c r="AF87" s="179">
        <v>355576918851.83545</v>
      </c>
      <c r="AG87" s="179">
        <v>366343472514.84296</v>
      </c>
      <c r="AH87" s="179">
        <v>383895976989.38361</v>
      </c>
      <c r="AI87" s="179">
        <v>381331068433.64624</v>
      </c>
      <c r="AJ87" s="179">
        <v>551464186619.21753</v>
      </c>
      <c r="AK87" s="179">
        <v>381634234040.4223</v>
      </c>
      <c r="AL87" s="179">
        <v>347774614446.07422</v>
      </c>
      <c r="AM87" s="179">
        <v>326482644976.69196</v>
      </c>
      <c r="AN87" s="179">
        <v>314380122163.7572</v>
      </c>
      <c r="AO87" s="179">
        <v>361978544842.31543</v>
      </c>
      <c r="AP87" s="179">
        <v>374178361217.67084</v>
      </c>
      <c r="AQ87" s="179">
        <v>424021947033.93591</v>
      </c>
      <c r="AR87" s="179">
        <v>419787608120.2464</v>
      </c>
      <c r="AS87" s="179">
        <v>452381438866.93457</v>
      </c>
      <c r="AT87" s="179">
        <v>525923492617.64343</v>
      </c>
      <c r="AU87" s="179">
        <v>524820607656.15729</v>
      </c>
      <c r="AV87" s="179">
        <v>515128617521.84387</v>
      </c>
      <c r="AW87" s="179">
        <v>540101886447.46759</v>
      </c>
      <c r="AX87" s="179">
        <v>681202193967.1792</v>
      </c>
      <c r="AY87" s="179">
        <v>856243749366.61426</v>
      </c>
      <c r="AZ87" s="179">
        <v>1060626418683.6013</v>
      </c>
      <c r="BA87" s="179">
        <v>1291580794819.0364</v>
      </c>
      <c r="BB87" s="179">
        <v>1636226107510.3484</v>
      </c>
      <c r="BC87" s="179">
        <v>1512317017807.7026</v>
      </c>
      <c r="BD87" s="179">
        <v>1789423802005.3247</v>
      </c>
      <c r="BE87" s="179">
        <v>1682954992313.1567</v>
      </c>
      <c r="BF87" s="179">
        <v>1886027758540.5</v>
      </c>
      <c r="BG87" s="179">
        <v>1957737559888.9419</v>
      </c>
      <c r="BH87" s="179">
        <v>2077047395313.5364</v>
      </c>
      <c r="BI87" s="179">
        <v>1659059960949.3118</v>
      </c>
      <c r="BJ87" s="179">
        <v>1555352426735.1409</v>
      </c>
      <c r="BK87" s="179">
        <v>1645540777006.2473</v>
      </c>
      <c r="BL87" s="179">
        <v>1730287221140.2244</v>
      </c>
      <c r="BM87" s="179">
        <v>1826389026348.8472</v>
      </c>
      <c r="BN87" s="179">
        <v>1663072394700.7883</v>
      </c>
      <c r="BO87" s="179">
        <v>1783491556983.1997</v>
      </c>
      <c r="BP87" s="179">
        <v>1892553416323.9956</v>
      </c>
    </row>
    <row r="88" spans="1:68">
      <c r="A88" s="179" t="s">
        <v>82</v>
      </c>
      <c r="B88" s="179">
        <f t="shared" si="1"/>
        <v>1</v>
      </c>
      <c r="C88" s="179" t="s">
        <v>635</v>
      </c>
      <c r="D88" s="179" t="s">
        <v>494</v>
      </c>
      <c r="E88" s="179" t="s">
        <v>495</v>
      </c>
      <c r="F88" s="179">
        <v>62225478000.88224</v>
      </c>
      <c r="G88" s="179">
        <v>67461644222.035179</v>
      </c>
      <c r="H88" s="179">
        <v>75607529809.928787</v>
      </c>
      <c r="I88" s="179">
        <v>84759195105.869278</v>
      </c>
      <c r="J88" s="179">
        <v>94007851047.367783</v>
      </c>
      <c r="K88" s="179">
        <v>101537248148.42683</v>
      </c>
      <c r="L88" s="179">
        <v>110045852177.92784</v>
      </c>
      <c r="M88" s="179">
        <v>118972977486.2066</v>
      </c>
      <c r="N88" s="179">
        <v>129785441507.45569</v>
      </c>
      <c r="O88" s="179">
        <v>141903068680.30939</v>
      </c>
      <c r="P88" s="179">
        <v>148456359985.82733</v>
      </c>
      <c r="Q88" s="179">
        <v>165966615366.40228</v>
      </c>
      <c r="R88" s="179">
        <v>203494148244.47333</v>
      </c>
      <c r="S88" s="179">
        <v>264429876252.20981</v>
      </c>
      <c r="T88" s="179">
        <v>285552373158.75616</v>
      </c>
      <c r="U88" s="179">
        <v>360832186018.05115</v>
      </c>
      <c r="V88" s="179">
        <v>372319038514.0672</v>
      </c>
      <c r="W88" s="179">
        <v>410279486493.7149</v>
      </c>
      <c r="X88" s="179">
        <v>506707848837.20935</v>
      </c>
      <c r="Y88" s="179">
        <v>613953129818.0697</v>
      </c>
      <c r="Z88" s="179">
        <v>701288419745.42065</v>
      </c>
      <c r="AA88" s="179">
        <v>615552202776.10132</v>
      </c>
      <c r="AB88" s="179">
        <v>584877732308.61365</v>
      </c>
      <c r="AC88" s="179">
        <v>559869179791.72046</v>
      </c>
      <c r="AD88" s="179">
        <v>530683779929.44531</v>
      </c>
      <c r="AE88" s="179">
        <v>553138414367.06091</v>
      </c>
      <c r="AF88" s="179">
        <v>771470783218.10779</v>
      </c>
      <c r="AG88" s="179">
        <v>934173305685.91077</v>
      </c>
      <c r="AH88" s="179">
        <v>1018847043277.1721</v>
      </c>
      <c r="AI88" s="179">
        <v>1025211803413.5308</v>
      </c>
      <c r="AJ88" s="179">
        <v>1269179616913.625</v>
      </c>
      <c r="AK88" s="179">
        <v>1269276828275.782</v>
      </c>
      <c r="AL88" s="179">
        <v>1401465923172.2427</v>
      </c>
      <c r="AM88" s="179">
        <v>1322815612694.0005</v>
      </c>
      <c r="AN88" s="179">
        <v>1393982750472.5898</v>
      </c>
      <c r="AO88" s="179">
        <v>1601094756209.7515</v>
      </c>
      <c r="AP88" s="179">
        <v>1605675086549.5576</v>
      </c>
      <c r="AQ88" s="179">
        <v>1452884917959.0918</v>
      </c>
      <c r="AR88" s="179">
        <v>1503108739159.4397</v>
      </c>
      <c r="AS88" s="179">
        <v>1493151737698.459</v>
      </c>
      <c r="AT88" s="179">
        <v>1365639660792.1597</v>
      </c>
      <c r="AU88" s="179">
        <v>1377657339291.3403</v>
      </c>
      <c r="AV88" s="179">
        <v>1501409382971.3752</v>
      </c>
      <c r="AW88" s="179">
        <v>1844544792036.8589</v>
      </c>
      <c r="AX88" s="179">
        <v>2119633181634.3684</v>
      </c>
      <c r="AY88" s="179">
        <v>2196945232435.7966</v>
      </c>
      <c r="AZ88" s="179">
        <v>2320536221304.7026</v>
      </c>
      <c r="BA88" s="179">
        <v>2660591246211.7734</v>
      </c>
      <c r="BB88" s="179">
        <v>2930303780828.1245</v>
      </c>
      <c r="BC88" s="179">
        <v>2700887366932.0293</v>
      </c>
      <c r="BD88" s="179">
        <v>2645187882116.7349</v>
      </c>
      <c r="BE88" s="179">
        <v>2865157541994.189</v>
      </c>
      <c r="BF88" s="179">
        <v>2683671716967.188</v>
      </c>
      <c r="BG88" s="179">
        <v>2811876903329.0498</v>
      </c>
      <c r="BH88" s="179">
        <v>2855964488590.1406</v>
      </c>
      <c r="BI88" s="179">
        <v>2439188643162.4985</v>
      </c>
      <c r="BJ88" s="179">
        <v>2472964344587.2339</v>
      </c>
      <c r="BK88" s="179">
        <v>2595151045197.6748</v>
      </c>
      <c r="BL88" s="179">
        <v>2790956878746.6147</v>
      </c>
      <c r="BM88" s="179">
        <v>2728870246705.8291</v>
      </c>
      <c r="BN88" s="179">
        <v>2639008701648.2109</v>
      </c>
      <c r="BO88" s="179">
        <v>2957879759263.5186</v>
      </c>
      <c r="BP88" s="179">
        <v>2782905325624.5244</v>
      </c>
    </row>
    <row r="89" spans="1:68">
      <c r="A89" s="179" t="s">
        <v>867</v>
      </c>
      <c r="B89" s="179">
        <f t="shared" si="1"/>
        <v>0</v>
      </c>
      <c r="C89" s="179" t="s">
        <v>868</v>
      </c>
      <c r="D89" s="179" t="s">
        <v>494</v>
      </c>
      <c r="E89" s="179" t="s">
        <v>495</v>
      </c>
      <c r="K89" s="179">
        <v>176534588.22848445</v>
      </c>
      <c r="L89" s="179">
        <v>215659453.33768159</v>
      </c>
      <c r="M89" s="179">
        <v>220984367.40805793</v>
      </c>
      <c r="N89" s="179">
        <v>259590074.27123585</v>
      </c>
      <c r="O89" s="179">
        <v>242943782.90236479</v>
      </c>
      <c r="P89" s="179">
        <v>254036000.5010666</v>
      </c>
      <c r="Q89" s="179">
        <v>296865513.08765686</v>
      </c>
      <c r="R89" s="179">
        <v>326433558.24730188</v>
      </c>
      <c r="S89" s="179">
        <v>431252938.191181</v>
      </c>
      <c r="T89" s="179">
        <v>555340843.93772721</v>
      </c>
      <c r="U89" s="179">
        <v>690323390.96894765</v>
      </c>
      <c r="V89" s="179">
        <v>732288909.02003419</v>
      </c>
      <c r="W89" s="179">
        <v>793196379.45063508</v>
      </c>
      <c r="X89" s="179">
        <v>1005569840.7474309</v>
      </c>
      <c r="Y89" s="179">
        <v>1215032464.6921704</v>
      </c>
      <c r="Z89" s="179">
        <v>1320416033.3067009</v>
      </c>
      <c r="AA89" s="179">
        <v>1234743075.7370512</v>
      </c>
      <c r="AB89" s="179">
        <v>1235897960.3404696</v>
      </c>
      <c r="AC89" s="179">
        <v>1284180702.7859545</v>
      </c>
      <c r="AD89" s="179">
        <v>1325515441.9751291</v>
      </c>
      <c r="AE89" s="179">
        <v>1448281229.0410118</v>
      </c>
      <c r="AF89" s="179">
        <v>2212028291.3922234</v>
      </c>
      <c r="AG89" s="179">
        <v>2677977168.7251225</v>
      </c>
      <c r="AH89" s="179">
        <v>2723496362.1721826</v>
      </c>
      <c r="AI89" s="179">
        <v>2731683490.2256079</v>
      </c>
      <c r="AJ89" s="179">
        <v>3320159522.5334024</v>
      </c>
      <c r="AK89" s="179">
        <v>3410078974.2141838</v>
      </c>
      <c r="AL89" s="179">
        <v>3713785776.2835431</v>
      </c>
      <c r="AM89" s="179">
        <v>3544608541.0505009</v>
      </c>
      <c r="AN89" s="179">
        <v>3676123796.0075502</v>
      </c>
      <c r="AO89" s="179">
        <v>4186994271.3028908</v>
      </c>
      <c r="AP89" s="179">
        <v>4166072830.0265121</v>
      </c>
      <c r="AQ89" s="179">
        <v>3762859109.395318</v>
      </c>
      <c r="AR89" s="179">
        <v>3903186594.7092381</v>
      </c>
      <c r="AS89" s="179">
        <v>3911602000.2940221</v>
      </c>
      <c r="AT89" s="179">
        <v>3599845481.6455669</v>
      </c>
      <c r="AU89" s="179">
        <v>3573808550.5129194</v>
      </c>
      <c r="AV89" s="179">
        <v>3965405556.5557361</v>
      </c>
      <c r="AW89" s="179">
        <v>4927780605.2545547</v>
      </c>
      <c r="AX89" s="179">
        <v>5564109988.1474409</v>
      </c>
      <c r="AY89" s="179">
        <v>5705052111.2897329</v>
      </c>
      <c r="AZ89" s="179">
        <v>5877997996.9525309</v>
      </c>
      <c r="BA89" s="179">
        <v>6631156410.6850367</v>
      </c>
      <c r="BB89" s="179">
        <v>7136741397.5014086</v>
      </c>
      <c r="BC89" s="179">
        <v>6584557942.4077206</v>
      </c>
      <c r="BD89" s="179">
        <v>6086644790.8086042</v>
      </c>
      <c r="BE89" s="179">
        <v>6203940049.2272739</v>
      </c>
      <c r="BF89" s="179">
        <v>5692858093.8448515</v>
      </c>
      <c r="BG89" s="179">
        <v>6031827089.1253071</v>
      </c>
      <c r="BH89" s="179">
        <v>6151996534.9607658</v>
      </c>
      <c r="BI89" s="179">
        <v>5325846341.7908974</v>
      </c>
      <c r="BJ89" s="179">
        <v>5497036486.7448654</v>
      </c>
      <c r="BK89" s="179">
        <v>5833352684.4526358</v>
      </c>
      <c r="BL89" s="179">
        <v>6135116260.6481352</v>
      </c>
      <c r="BM89" s="179">
        <v>6022276207.1898298</v>
      </c>
      <c r="BN89" s="179">
        <v>5731835679.2306099</v>
      </c>
      <c r="BO89" s="179">
        <v>6080359305.28965</v>
      </c>
    </row>
    <row r="90" spans="1:68">
      <c r="A90" s="179" t="s">
        <v>640</v>
      </c>
      <c r="B90" s="179">
        <f t="shared" si="1"/>
        <v>1</v>
      </c>
      <c r="C90" s="179" t="s">
        <v>641</v>
      </c>
      <c r="D90" s="179" t="s">
        <v>494</v>
      </c>
      <c r="E90" s="179" t="s">
        <v>495</v>
      </c>
      <c r="F90" s="179">
        <v>141468977.57000685</v>
      </c>
      <c r="G90" s="179">
        <v>167637907.38172305</v>
      </c>
      <c r="H90" s="179">
        <v>182796536.49988413</v>
      </c>
      <c r="I90" s="179">
        <v>154480244.24684379</v>
      </c>
      <c r="J90" s="179">
        <v>215679855.27251634</v>
      </c>
      <c r="K90" s="179">
        <v>226474285.58710822</v>
      </c>
      <c r="L90" s="179">
        <v>245849781.71589851</v>
      </c>
      <c r="M90" s="179">
        <v>271543680.27928549</v>
      </c>
      <c r="N90" s="179">
        <v>294468564.53436893</v>
      </c>
      <c r="O90" s="179">
        <v>318124701.04894888</v>
      </c>
      <c r="P90" s="179">
        <v>323802475.48097664</v>
      </c>
      <c r="Q90" s="179">
        <v>381687073.05855811</v>
      </c>
      <c r="R90" s="179">
        <v>430508357.72391623</v>
      </c>
      <c r="S90" s="179">
        <v>722780701.12325084</v>
      </c>
      <c r="T90" s="179">
        <v>1544216003.9841001</v>
      </c>
      <c r="U90" s="179">
        <v>2157592936.607121</v>
      </c>
      <c r="V90" s="179">
        <v>3009409970.9051447</v>
      </c>
      <c r="W90" s="179">
        <v>2809349074.1773834</v>
      </c>
      <c r="X90" s="179">
        <v>2389479269.1887755</v>
      </c>
      <c r="Y90" s="179">
        <v>3030251116.3599873</v>
      </c>
      <c r="Z90" s="179">
        <v>4279637933.8512559</v>
      </c>
      <c r="AA90" s="179">
        <v>3862269126.9264226</v>
      </c>
      <c r="AB90" s="179">
        <v>3618007844.4491944</v>
      </c>
      <c r="AC90" s="179">
        <v>3391275731.318337</v>
      </c>
      <c r="AD90" s="179">
        <v>3561451562.2356911</v>
      </c>
      <c r="AE90" s="179">
        <v>3339914759.3726931</v>
      </c>
      <c r="AF90" s="179">
        <v>3403638193.5791216</v>
      </c>
      <c r="AG90" s="179">
        <v>3281797038.6658998</v>
      </c>
      <c r="AH90" s="179">
        <v>3834503378.3552542</v>
      </c>
      <c r="AI90" s="179">
        <v>4186411457.4569025</v>
      </c>
      <c r="AJ90" s="179">
        <v>5952293765.8448372</v>
      </c>
      <c r="AK90" s="179">
        <v>5402919788.2315254</v>
      </c>
      <c r="AL90" s="179">
        <v>5592390832.668292</v>
      </c>
      <c r="AM90" s="179">
        <v>4378645081.0176907</v>
      </c>
      <c r="AN90" s="179">
        <v>4190819346.8214316</v>
      </c>
      <c r="AO90" s="179">
        <v>4958845649.0282278</v>
      </c>
      <c r="AP90" s="179">
        <v>5694039999.8652782</v>
      </c>
      <c r="AQ90" s="179">
        <v>5326817111.3106203</v>
      </c>
      <c r="AR90" s="179">
        <v>4483417313.1182308</v>
      </c>
      <c r="AS90" s="179">
        <v>4662992036.2072964</v>
      </c>
      <c r="AT90" s="179">
        <v>5080483628.3057413</v>
      </c>
      <c r="AU90" s="179">
        <v>5023265411.4774847</v>
      </c>
      <c r="AV90" s="179">
        <v>5335451103.7556906</v>
      </c>
      <c r="AW90" s="179">
        <v>6511903363.5388441</v>
      </c>
      <c r="AX90" s="179">
        <v>7770219003.9166193</v>
      </c>
      <c r="AY90" s="179">
        <v>9582783997.2214127</v>
      </c>
      <c r="AZ90" s="179">
        <v>10327598308.529716</v>
      </c>
      <c r="BA90" s="179">
        <v>12455409574.940777</v>
      </c>
      <c r="BB90" s="179">
        <v>15571348329.227859</v>
      </c>
      <c r="BC90" s="179">
        <v>12113699059.458052</v>
      </c>
      <c r="BD90" s="179">
        <v>14372593013.812424</v>
      </c>
      <c r="BE90" s="179">
        <v>18210307754.44265</v>
      </c>
      <c r="BF90" s="179">
        <v>17170464000.782419</v>
      </c>
      <c r="BG90" s="179">
        <v>17595744803.604061</v>
      </c>
      <c r="BH90" s="179">
        <v>18203966900.440376</v>
      </c>
      <c r="BI90" s="179">
        <v>14383107763.11825</v>
      </c>
      <c r="BJ90" s="179">
        <v>14023890263.87505</v>
      </c>
      <c r="BK90" s="179">
        <v>14929487495.759014</v>
      </c>
      <c r="BL90" s="179">
        <v>16867326389.869593</v>
      </c>
      <c r="BM90" s="179">
        <v>16874405460.196362</v>
      </c>
      <c r="BN90" s="179">
        <v>15314577167.819899</v>
      </c>
      <c r="BO90" s="179">
        <v>20217946921.206306</v>
      </c>
      <c r="BP90" s="179">
        <v>21071739227.942764</v>
      </c>
    </row>
    <row r="91" spans="1:68">
      <c r="A91" s="222" t="s">
        <v>1334</v>
      </c>
      <c r="B91" s="179">
        <f t="shared" si="1"/>
        <v>1</v>
      </c>
      <c r="C91" s="179" t="s">
        <v>651</v>
      </c>
      <c r="D91" s="179" t="s">
        <v>494</v>
      </c>
      <c r="E91" s="179" t="s">
        <v>495</v>
      </c>
      <c r="L91" s="179">
        <v>44212088.418829054</v>
      </c>
      <c r="M91" s="179">
        <v>46695008.766086794</v>
      </c>
      <c r="N91" s="179">
        <v>41160065.834702164</v>
      </c>
      <c r="O91" s="179">
        <v>45168072.245428264</v>
      </c>
      <c r="P91" s="179">
        <v>52296083.646539956</v>
      </c>
      <c r="Q91" s="179">
        <v>55728655.795770898</v>
      </c>
      <c r="R91" s="179">
        <v>59160575.509545609</v>
      </c>
      <c r="S91" s="179">
        <v>75187768.349532902</v>
      </c>
      <c r="T91" s="179">
        <v>95796033.655411214</v>
      </c>
      <c r="U91" s="179">
        <v>115179737.73617929</v>
      </c>
      <c r="V91" s="179">
        <v>112190822.64603266</v>
      </c>
      <c r="W91" s="179">
        <v>138093106.27764127</v>
      </c>
      <c r="X91" s="179">
        <v>171833061.57846129</v>
      </c>
      <c r="Y91" s="179">
        <v>207112649.70294234</v>
      </c>
      <c r="Z91" s="179">
        <v>241083112.72876808</v>
      </c>
      <c r="AA91" s="179">
        <v>218767720.45075059</v>
      </c>
      <c r="AB91" s="179">
        <v>216050534.81498605</v>
      </c>
      <c r="AC91" s="179">
        <v>213448615.74872759</v>
      </c>
      <c r="AD91" s="179">
        <v>177340879.46261743</v>
      </c>
      <c r="AE91" s="179">
        <v>225726370.22735795</v>
      </c>
      <c r="AF91" s="179">
        <v>185646984.45879391</v>
      </c>
      <c r="AG91" s="179">
        <v>220626480.9380168</v>
      </c>
      <c r="AH91" s="179">
        <v>266672202.48043525</v>
      </c>
      <c r="AI91" s="179">
        <v>284120331.64737988</v>
      </c>
      <c r="AJ91" s="179">
        <v>317083688.19987363</v>
      </c>
      <c r="AK91" s="179">
        <v>690311093.17205226</v>
      </c>
      <c r="AL91" s="179">
        <v>714254263.1032486</v>
      </c>
      <c r="AM91" s="179">
        <v>755040935.02249765</v>
      </c>
      <c r="AN91" s="179">
        <v>746493955.00843358</v>
      </c>
      <c r="AO91" s="179">
        <v>785999879.72069144</v>
      </c>
      <c r="AP91" s="179">
        <v>848239405.56563711</v>
      </c>
      <c r="AQ91" s="179">
        <v>803633368.73580229</v>
      </c>
      <c r="AR91" s="179">
        <v>840285264.63154531</v>
      </c>
      <c r="AS91" s="179">
        <v>814724055.89833403</v>
      </c>
      <c r="AT91" s="179">
        <v>782913865.98756814</v>
      </c>
      <c r="AU91" s="179">
        <v>687410630.4572916</v>
      </c>
      <c r="AV91" s="179">
        <v>578235309.32719815</v>
      </c>
      <c r="AW91" s="179">
        <v>487038679.35522878</v>
      </c>
      <c r="AX91" s="179">
        <v>961900640.74636364</v>
      </c>
      <c r="AY91" s="179">
        <v>1027701055.5687122</v>
      </c>
      <c r="AZ91" s="179">
        <v>1054112487.7408298</v>
      </c>
      <c r="BA91" s="179">
        <v>1279703029.87257</v>
      </c>
      <c r="BB91" s="179">
        <v>1561766955.7302403</v>
      </c>
      <c r="BC91" s="179">
        <v>1450142497.4626157</v>
      </c>
      <c r="BD91" s="179">
        <v>1543294945.4571404</v>
      </c>
      <c r="BE91" s="179">
        <v>1409693594.0574763</v>
      </c>
      <c r="BF91" s="179">
        <v>1415004743.179388</v>
      </c>
      <c r="BG91" s="179">
        <v>1375609459.7817161</v>
      </c>
      <c r="BH91" s="179">
        <v>1229461731.7045789</v>
      </c>
      <c r="BI91" s="179">
        <v>1378176605.9370522</v>
      </c>
      <c r="BJ91" s="179">
        <v>1484578897.1578336</v>
      </c>
      <c r="BK91" s="179">
        <v>1504909447.7745907</v>
      </c>
      <c r="BL91" s="179">
        <v>1670671340.3796611</v>
      </c>
      <c r="BM91" s="179">
        <v>1813609679.153127</v>
      </c>
      <c r="BN91" s="179">
        <v>1812170878.3063152</v>
      </c>
      <c r="BO91" s="179">
        <v>2038414973.5717318</v>
      </c>
      <c r="BP91" s="179">
        <v>2273060863.1398072</v>
      </c>
    </row>
    <row r="92" spans="1:68">
      <c r="A92" s="179" t="s">
        <v>643</v>
      </c>
      <c r="B92" s="179">
        <f t="shared" si="1"/>
        <v>1</v>
      </c>
      <c r="C92" s="179" t="s">
        <v>644</v>
      </c>
      <c r="D92" s="179" t="s">
        <v>494</v>
      </c>
      <c r="E92" s="179" t="s">
        <v>495</v>
      </c>
      <c r="AJ92" s="179">
        <v>7753501867.7609463</v>
      </c>
      <c r="AK92" s="179">
        <v>6357615894.0397358</v>
      </c>
      <c r="AL92" s="179">
        <v>3690328963.640861</v>
      </c>
      <c r="AM92" s="179">
        <v>2701181331.3081622</v>
      </c>
      <c r="AN92" s="179">
        <v>2514070771.8027306</v>
      </c>
      <c r="AO92" s="179">
        <v>2693768412.8917928</v>
      </c>
      <c r="AP92" s="179">
        <v>3095047603.8083048</v>
      </c>
      <c r="AQ92" s="179">
        <v>3510520231.2138724</v>
      </c>
      <c r="AR92" s="179">
        <v>3613498183.2136045</v>
      </c>
      <c r="AS92" s="179">
        <v>2800026343.7363605</v>
      </c>
      <c r="AT92" s="179">
        <v>3057475335.1884646</v>
      </c>
      <c r="AU92" s="179">
        <v>3219462779.6849952</v>
      </c>
      <c r="AV92" s="179">
        <v>3395766677.6731529</v>
      </c>
      <c r="AW92" s="179">
        <v>3991377904.1316156</v>
      </c>
      <c r="AX92" s="179">
        <v>5125365191.9866438</v>
      </c>
      <c r="AY92" s="179">
        <v>6410912049.871047</v>
      </c>
      <c r="AZ92" s="179">
        <v>7745249283.8822155</v>
      </c>
      <c r="BA92" s="179">
        <v>10172933118.493038</v>
      </c>
      <c r="BB92" s="179">
        <v>12795147991.838758</v>
      </c>
      <c r="BC92" s="179">
        <v>10766919442.078922</v>
      </c>
      <c r="BD92" s="179">
        <v>12243219360.29846</v>
      </c>
      <c r="BE92" s="179">
        <v>15107482383.379772</v>
      </c>
      <c r="BF92" s="179">
        <v>16488819132.883541</v>
      </c>
      <c r="BG92" s="179">
        <v>17190068235.789219</v>
      </c>
      <c r="BH92" s="179">
        <v>17627336228.053581</v>
      </c>
      <c r="BI92" s="179">
        <v>14953675992.670391</v>
      </c>
      <c r="BJ92" s="179">
        <v>15141598622.56916</v>
      </c>
      <c r="BK92" s="179">
        <v>16242647229.739805</v>
      </c>
      <c r="BL92" s="179">
        <v>17596922469.915173</v>
      </c>
      <c r="BM92" s="179">
        <v>17470436258.513054</v>
      </c>
      <c r="BN92" s="179">
        <v>15842922532.720198</v>
      </c>
      <c r="BO92" s="179">
        <v>18629365612.095997</v>
      </c>
      <c r="BP92" s="179">
        <v>24605375420.067211</v>
      </c>
    </row>
    <row r="93" spans="1:68">
      <c r="A93" s="179" t="s">
        <v>90</v>
      </c>
      <c r="B93" s="179">
        <f t="shared" si="1"/>
        <v>1</v>
      </c>
      <c r="C93" s="179" t="s">
        <v>594</v>
      </c>
      <c r="D93" s="179" t="s">
        <v>494</v>
      </c>
      <c r="E93" s="179" t="s">
        <v>495</v>
      </c>
      <c r="P93" s="179">
        <v>215838448137.65833</v>
      </c>
      <c r="Q93" s="179">
        <v>249985055484.3027</v>
      </c>
      <c r="R93" s="179">
        <v>299801542047.47589</v>
      </c>
      <c r="S93" s="179">
        <v>398374021953.89679</v>
      </c>
      <c r="T93" s="179">
        <v>445303484241.55396</v>
      </c>
      <c r="U93" s="179">
        <v>490636517211.22504</v>
      </c>
      <c r="V93" s="179">
        <v>519754453161.41058</v>
      </c>
      <c r="W93" s="179">
        <v>600498238019.03479</v>
      </c>
      <c r="X93" s="179">
        <v>740469983446.93286</v>
      </c>
      <c r="Y93" s="179">
        <v>881345176608.68628</v>
      </c>
      <c r="Z93" s="179">
        <v>950290856466.5376</v>
      </c>
      <c r="AA93" s="179">
        <v>800472055387.2782</v>
      </c>
      <c r="AB93" s="179">
        <v>776576439106.95581</v>
      </c>
      <c r="AC93" s="179">
        <v>770684323247.79773</v>
      </c>
      <c r="AD93" s="179">
        <v>725111123634.1145</v>
      </c>
      <c r="AE93" s="179">
        <v>732534887058.19824</v>
      </c>
      <c r="AF93" s="179">
        <v>1046259374943.7089</v>
      </c>
      <c r="AG93" s="179">
        <v>1298176105549.5103</v>
      </c>
      <c r="AH93" s="179">
        <v>1401233225303.4858</v>
      </c>
      <c r="AI93" s="179">
        <v>1398967436804.3274</v>
      </c>
      <c r="AJ93" s="179">
        <v>1771671206875.6809</v>
      </c>
      <c r="AK93" s="179">
        <v>1868945197407.189</v>
      </c>
      <c r="AL93" s="179">
        <v>2131571696931.7471</v>
      </c>
      <c r="AM93" s="179">
        <v>2071323790370.2827</v>
      </c>
      <c r="AN93" s="179">
        <v>2205074123177.0518</v>
      </c>
      <c r="AO93" s="179">
        <v>2585792275146.7178</v>
      </c>
      <c r="AP93" s="179">
        <v>2497244606186.6392</v>
      </c>
      <c r="AQ93" s="179">
        <v>2211989623279.9458</v>
      </c>
      <c r="AR93" s="179">
        <v>2238990774702.6787</v>
      </c>
      <c r="AS93" s="179">
        <v>2194945278872.5918</v>
      </c>
      <c r="AT93" s="179">
        <v>1947981991011.7688</v>
      </c>
      <c r="AU93" s="179">
        <v>1945790973803.1519</v>
      </c>
      <c r="AV93" s="179">
        <v>2078484517474.5134</v>
      </c>
      <c r="AW93" s="179">
        <v>2501640388482.3477</v>
      </c>
      <c r="AX93" s="179">
        <v>2814353869359.0806</v>
      </c>
      <c r="AY93" s="179">
        <v>2846864211175.0962</v>
      </c>
      <c r="AZ93" s="179">
        <v>2994703642023.5254</v>
      </c>
      <c r="BA93" s="179">
        <v>3425578382921.5796</v>
      </c>
      <c r="BB93" s="179">
        <v>3745264093617.1865</v>
      </c>
      <c r="BC93" s="179">
        <v>3411261212652.3413</v>
      </c>
      <c r="BD93" s="179">
        <v>3399667820000.0874</v>
      </c>
      <c r="BE93" s="179">
        <v>3749314991050.6172</v>
      </c>
      <c r="BF93" s="179">
        <v>3527143188785.1572</v>
      </c>
      <c r="BG93" s="179">
        <v>3733804649549.0601</v>
      </c>
      <c r="BH93" s="179">
        <v>3889093051023.4536</v>
      </c>
      <c r="BI93" s="179">
        <v>3357585719351.5605</v>
      </c>
      <c r="BJ93" s="179">
        <v>3469853463945.6299</v>
      </c>
      <c r="BK93" s="179">
        <v>3690849152517.6865</v>
      </c>
      <c r="BL93" s="179">
        <v>3974443355019.5342</v>
      </c>
      <c r="BM93" s="179">
        <v>3888226035921.4927</v>
      </c>
      <c r="BN93" s="179">
        <v>3889668895299.5552</v>
      </c>
      <c r="BO93" s="179">
        <v>4259934911821.6372</v>
      </c>
      <c r="BP93" s="179">
        <v>4072191736089.5098</v>
      </c>
    </row>
    <row r="94" spans="1:68">
      <c r="A94" s="179" t="s">
        <v>645</v>
      </c>
      <c r="B94" s="179">
        <f t="shared" si="1"/>
        <v>1</v>
      </c>
      <c r="C94" s="179" t="s">
        <v>646</v>
      </c>
      <c r="D94" s="179" t="s">
        <v>494</v>
      </c>
      <c r="E94" s="179" t="s">
        <v>495</v>
      </c>
      <c r="F94" s="179">
        <v>1217230094.9720452</v>
      </c>
      <c r="G94" s="179">
        <v>1302674324.8837769</v>
      </c>
      <c r="H94" s="179">
        <v>1382515654.4734278</v>
      </c>
      <c r="I94" s="179">
        <v>1540797588.5722094</v>
      </c>
      <c r="J94" s="179">
        <v>1731296199.5229552</v>
      </c>
      <c r="K94" s="179">
        <v>2053462968.042599</v>
      </c>
      <c r="L94" s="179">
        <v>2126300672.2296488</v>
      </c>
      <c r="M94" s="179">
        <v>1747187644.9030993</v>
      </c>
      <c r="N94" s="179">
        <v>1666909517.6520472</v>
      </c>
      <c r="O94" s="179">
        <v>1962050555.777498</v>
      </c>
      <c r="P94" s="179">
        <v>2215028588.4564557</v>
      </c>
      <c r="Q94" s="179">
        <v>2417108577.5273857</v>
      </c>
      <c r="R94" s="179">
        <v>2112293279.9850671</v>
      </c>
      <c r="S94" s="179">
        <v>3006766758.4397712</v>
      </c>
      <c r="T94" s="179">
        <v>2894409937.8881984</v>
      </c>
      <c r="U94" s="179">
        <v>2810106382.9787235</v>
      </c>
      <c r="V94" s="179">
        <v>2765254237.2881355</v>
      </c>
      <c r="W94" s="179">
        <v>3189428571.4285712</v>
      </c>
      <c r="X94" s="179">
        <v>3662478184.9912739</v>
      </c>
      <c r="Y94" s="179">
        <v>4020227920.2279201</v>
      </c>
      <c r="Z94" s="179">
        <v>4445228215.7676344</v>
      </c>
      <c r="AA94" s="179">
        <v>4222441614.9743247</v>
      </c>
      <c r="AB94" s="179">
        <v>4035994397.7591038</v>
      </c>
      <c r="AC94" s="179">
        <v>4057275042.8290339</v>
      </c>
      <c r="AD94" s="179">
        <v>4412279843.4442272</v>
      </c>
      <c r="AE94" s="179">
        <v>4504342149.4347095</v>
      </c>
      <c r="AF94" s="179">
        <v>5735921420.3876944</v>
      </c>
      <c r="AG94" s="179">
        <v>5074829931.9727888</v>
      </c>
      <c r="AH94" s="179">
        <v>5197840972.6857042</v>
      </c>
      <c r="AI94" s="179">
        <v>5251764269.9181242</v>
      </c>
      <c r="AJ94" s="179">
        <v>5889174833.9003353</v>
      </c>
      <c r="AK94" s="179">
        <v>6603130039.8729181</v>
      </c>
      <c r="AL94" s="179">
        <v>6416079341.9732914</v>
      </c>
      <c r="AM94" s="179">
        <v>5968905678.8909874</v>
      </c>
      <c r="AN94" s="179">
        <v>5446370114.5770845</v>
      </c>
      <c r="AO94" s="179">
        <v>6464389656.2129908</v>
      </c>
      <c r="AP94" s="179">
        <v>6932984635.6319971</v>
      </c>
      <c r="AQ94" s="179">
        <v>6891433840.9091482</v>
      </c>
      <c r="AR94" s="179">
        <v>7482072380.2381001</v>
      </c>
      <c r="AS94" s="179">
        <v>7718110780.9481468</v>
      </c>
      <c r="AT94" s="179">
        <v>4982849054.0291042</v>
      </c>
      <c r="AU94" s="179">
        <v>5314871683.5223007</v>
      </c>
      <c r="AV94" s="179">
        <v>6166197191.7669439</v>
      </c>
      <c r="AW94" s="179">
        <v>7632720680.2811918</v>
      </c>
      <c r="AX94" s="179">
        <v>8881419348.2170506</v>
      </c>
      <c r="AY94" s="179">
        <v>10744562614.747902</v>
      </c>
      <c r="AZ94" s="179">
        <v>20885042153.019947</v>
      </c>
      <c r="BA94" s="179">
        <v>24827333947.37817</v>
      </c>
      <c r="BB94" s="179">
        <v>28679383241.07291</v>
      </c>
      <c r="BC94" s="179">
        <v>26048726185.674568</v>
      </c>
      <c r="BD94" s="179">
        <v>32197648061.166286</v>
      </c>
      <c r="BE94" s="179">
        <v>39336668080.558983</v>
      </c>
      <c r="BF94" s="179">
        <v>41271708599.714973</v>
      </c>
      <c r="BG94" s="179">
        <v>62824629066.040833</v>
      </c>
      <c r="BH94" s="179">
        <v>54783320576.888222</v>
      </c>
      <c r="BI94" s="179">
        <v>49406014245.429642</v>
      </c>
      <c r="BJ94" s="179">
        <v>56164933479.404358</v>
      </c>
      <c r="BK94" s="179">
        <v>60405920071.102432</v>
      </c>
      <c r="BL94" s="179">
        <v>67298913752.024117</v>
      </c>
      <c r="BM94" s="179">
        <v>68337974418.768051</v>
      </c>
      <c r="BN94" s="179">
        <v>70043095503.250305</v>
      </c>
      <c r="BO94" s="179">
        <v>79156409409.858109</v>
      </c>
      <c r="BP94" s="179">
        <v>72838798787.706589</v>
      </c>
    </row>
    <row r="95" spans="1:68">
      <c r="A95" s="179" t="s">
        <v>647</v>
      </c>
      <c r="B95" s="179">
        <f t="shared" si="1"/>
        <v>0</v>
      </c>
      <c r="C95" s="179" t="s">
        <v>648</v>
      </c>
      <c r="D95" s="179" t="s">
        <v>494</v>
      </c>
      <c r="E95" s="179" t="s">
        <v>495</v>
      </c>
    </row>
    <row r="96" spans="1:68">
      <c r="A96" s="179" t="s">
        <v>656</v>
      </c>
      <c r="B96" s="179">
        <f t="shared" si="1"/>
        <v>1</v>
      </c>
      <c r="C96" s="179" t="s">
        <v>657</v>
      </c>
      <c r="D96" s="179" t="s">
        <v>494</v>
      </c>
      <c r="E96" s="179" t="s">
        <v>495</v>
      </c>
      <c r="F96" s="179">
        <v>4335186016.8394222</v>
      </c>
      <c r="G96" s="179">
        <v>4961400439.3172178</v>
      </c>
      <c r="H96" s="179">
        <v>5213047711.4270449</v>
      </c>
      <c r="I96" s="179">
        <v>5895278024.092021</v>
      </c>
      <c r="J96" s="179">
        <v>6669673257.1182985</v>
      </c>
      <c r="K96" s="179">
        <v>7689154053.3586626</v>
      </c>
      <c r="L96" s="179">
        <v>8591517943.6012897</v>
      </c>
      <c r="M96" s="179">
        <v>9275600800.3564434</v>
      </c>
      <c r="N96" s="179">
        <v>10090675902.536438</v>
      </c>
      <c r="O96" s="179">
        <v>11615657031.238716</v>
      </c>
      <c r="P96" s="179">
        <v>13139863636.363638</v>
      </c>
      <c r="Q96" s="179">
        <v>14591750000</v>
      </c>
      <c r="R96" s="179">
        <v>16885511363.636364</v>
      </c>
      <c r="S96" s="179">
        <v>22347848101.265823</v>
      </c>
      <c r="T96" s="179">
        <v>25351306818.18182</v>
      </c>
      <c r="U96" s="179">
        <v>28525876726.886292</v>
      </c>
      <c r="V96" s="179">
        <v>31152835820.895523</v>
      </c>
      <c r="W96" s="179">
        <v>36176234967.622574</v>
      </c>
      <c r="X96" s="179">
        <v>44270204081.632652</v>
      </c>
      <c r="Y96" s="179">
        <v>54481876724.931</v>
      </c>
      <c r="Z96" s="179">
        <v>56829664268.585136</v>
      </c>
      <c r="AA96" s="179">
        <v>52346506765.06765</v>
      </c>
      <c r="AB96" s="179">
        <v>54617989795.918365</v>
      </c>
      <c r="AC96" s="179">
        <v>49428873839.009285</v>
      </c>
      <c r="AD96" s="179">
        <v>48020024183.79686</v>
      </c>
      <c r="AE96" s="179">
        <v>47820851221.317543</v>
      </c>
      <c r="AF96" s="179">
        <v>56379593476.144112</v>
      </c>
      <c r="AG96" s="179">
        <v>65652750377.453453</v>
      </c>
      <c r="AH96" s="179">
        <v>76261277924.573624</v>
      </c>
      <c r="AI96" s="179">
        <v>79169043222.828369</v>
      </c>
      <c r="AJ96" s="179">
        <v>97891092003.439377</v>
      </c>
      <c r="AK96" s="179">
        <v>105143232379.88408</v>
      </c>
      <c r="AL96" s="179">
        <v>116224672863.78262</v>
      </c>
      <c r="AM96" s="179">
        <v>108809059155.76695</v>
      </c>
      <c r="AN96" s="179">
        <v>116601801966.29214</v>
      </c>
      <c r="AO96" s="179">
        <v>136878365936.1671</v>
      </c>
      <c r="AP96" s="179">
        <v>145861612400.90601</v>
      </c>
      <c r="AQ96" s="179">
        <v>143157600149.75665</v>
      </c>
      <c r="AR96" s="179">
        <v>144428172489.33472</v>
      </c>
      <c r="AS96" s="179">
        <v>142588875293.74857</v>
      </c>
      <c r="AT96" s="179">
        <v>130457756628.43636</v>
      </c>
      <c r="AU96" s="179">
        <v>136309295225.33954</v>
      </c>
      <c r="AV96" s="179">
        <v>154564203586.95401</v>
      </c>
      <c r="AW96" s="179">
        <v>202370140236.26508</v>
      </c>
      <c r="AX96" s="179">
        <v>240963562236.12726</v>
      </c>
      <c r="AY96" s="179">
        <v>247875422204.41388</v>
      </c>
      <c r="AZ96" s="179">
        <v>273546728473.07257</v>
      </c>
      <c r="BA96" s="179">
        <v>318902829550.73315</v>
      </c>
      <c r="BB96" s="179">
        <v>355908689477.44525</v>
      </c>
      <c r="BC96" s="179">
        <v>331308500253.27441</v>
      </c>
      <c r="BD96" s="179">
        <v>297124961971.50763</v>
      </c>
      <c r="BE96" s="179">
        <v>282995942006.55896</v>
      </c>
      <c r="BF96" s="179">
        <v>242029307133.40787</v>
      </c>
      <c r="BG96" s="179">
        <v>238907690051.13199</v>
      </c>
      <c r="BH96" s="179">
        <v>235458133124.60403</v>
      </c>
      <c r="BI96" s="179">
        <v>195683527003.37451</v>
      </c>
      <c r="BJ96" s="179">
        <v>193148146586.93811</v>
      </c>
      <c r="BK96" s="179">
        <v>199844406013.53275</v>
      </c>
      <c r="BL96" s="179">
        <v>212049447242.10745</v>
      </c>
      <c r="BM96" s="179">
        <v>205257014892.49796</v>
      </c>
      <c r="BN96" s="179">
        <v>188925995936.8035</v>
      </c>
      <c r="BO96" s="179">
        <v>214873879833.64771</v>
      </c>
      <c r="BP96" s="179">
        <v>219065872466.24988</v>
      </c>
    </row>
    <row r="97" spans="1:68">
      <c r="A97" s="179" t="s">
        <v>660</v>
      </c>
      <c r="B97" s="179">
        <f t="shared" si="1"/>
        <v>0</v>
      </c>
      <c r="C97" s="179" t="s">
        <v>661</v>
      </c>
      <c r="D97" s="179" t="s">
        <v>494</v>
      </c>
      <c r="E97" s="179" t="s">
        <v>495</v>
      </c>
      <c r="P97" s="179">
        <v>69520026.606415987</v>
      </c>
      <c r="Q97" s="179">
        <v>88571004.74406901</v>
      </c>
      <c r="R97" s="179">
        <v>106101302.90585026</v>
      </c>
      <c r="S97" s="179">
        <v>140153748.26682433</v>
      </c>
      <c r="T97" s="179">
        <v>169918948.65706062</v>
      </c>
      <c r="U97" s="179">
        <v>211192468.037067</v>
      </c>
      <c r="V97" s="179">
        <v>240779417.82553083</v>
      </c>
      <c r="W97" s="179">
        <v>282269764.88044864</v>
      </c>
      <c r="X97" s="179">
        <v>355987433.48024344</v>
      </c>
      <c r="Y97" s="179">
        <v>420645794.96840352</v>
      </c>
      <c r="Z97" s="179">
        <v>476051769.01394176</v>
      </c>
      <c r="AA97" s="179">
        <v>435749013.87018508</v>
      </c>
      <c r="AB97" s="179">
        <v>402403057.15125924</v>
      </c>
      <c r="AC97" s="179">
        <v>416184086.23097003</v>
      </c>
      <c r="AD97" s="179">
        <v>379371913.71595752</v>
      </c>
      <c r="AE97" s="179">
        <v>412876395.82686925</v>
      </c>
      <c r="AF97" s="179">
        <v>603016317.53630292</v>
      </c>
      <c r="AG97" s="179">
        <v>787390447.32334483</v>
      </c>
      <c r="AH97" s="179">
        <v>898607670.62441266</v>
      </c>
      <c r="AI97" s="179">
        <v>929799902.19112396</v>
      </c>
      <c r="AJ97" s="179">
        <v>1018977225.444268</v>
      </c>
      <c r="AK97" s="179">
        <v>1016500016.2850541</v>
      </c>
      <c r="AL97" s="179">
        <v>1037916105.2329311</v>
      </c>
      <c r="AM97" s="179">
        <v>927214127.93431723</v>
      </c>
      <c r="AN97" s="179">
        <v>1005887592.0353863</v>
      </c>
      <c r="AO97" s="179">
        <v>1208953358.9970896</v>
      </c>
      <c r="AP97" s="179">
        <v>1197515637.9205232</v>
      </c>
      <c r="AQ97" s="179">
        <v>1072154406.7890489</v>
      </c>
      <c r="AR97" s="179">
        <v>1149858126.9574695</v>
      </c>
      <c r="AS97" s="179">
        <v>1131555107.0490694</v>
      </c>
      <c r="AT97" s="179">
        <v>1068024993.9869722</v>
      </c>
      <c r="AU97" s="179">
        <v>1086170638.7290123</v>
      </c>
      <c r="AV97" s="179">
        <v>1169136691.3537185</v>
      </c>
      <c r="AW97" s="179">
        <v>1558759744.2091348</v>
      </c>
      <c r="AX97" s="179">
        <v>1822499870.6405149</v>
      </c>
      <c r="AY97" s="179">
        <v>1849802648.3639076</v>
      </c>
      <c r="AZ97" s="179">
        <v>2013106816.6601143</v>
      </c>
      <c r="BA97" s="179">
        <v>2249811364.541985</v>
      </c>
      <c r="BB97" s="179">
        <v>2499092396.1183829</v>
      </c>
      <c r="BC97" s="179">
        <v>2529964060.5374737</v>
      </c>
      <c r="BD97" s="179">
        <v>2503167187.4930544</v>
      </c>
      <c r="BE97" s="179">
        <v>2684461607.9311323</v>
      </c>
      <c r="BF97" s="179">
        <v>2609678694.9447937</v>
      </c>
      <c r="BG97" s="179">
        <v>2684947140.151804</v>
      </c>
      <c r="BH97" s="179">
        <v>2842065877.1544285</v>
      </c>
      <c r="BI97" s="179">
        <v>2499113085.4825468</v>
      </c>
      <c r="BJ97" s="179">
        <v>2707146783.1305614</v>
      </c>
      <c r="BK97" s="179">
        <v>2851610655.923912</v>
      </c>
      <c r="BL97" s="179">
        <v>3055791340.7024989</v>
      </c>
      <c r="BM97" s="179">
        <v>2997331094.2513566</v>
      </c>
      <c r="BN97" s="179">
        <v>3082909157.609942</v>
      </c>
      <c r="BO97" s="179">
        <v>3235816195.0660877</v>
      </c>
    </row>
    <row r="98" spans="1:68">
      <c r="A98" s="179" t="s">
        <v>658</v>
      </c>
      <c r="B98" s="179">
        <f t="shared" si="1"/>
        <v>0</v>
      </c>
      <c r="C98" s="179" t="s">
        <v>659</v>
      </c>
      <c r="D98" s="179" t="s">
        <v>494</v>
      </c>
      <c r="E98" s="179" t="s">
        <v>495</v>
      </c>
      <c r="W98" s="179">
        <v>71494495.185185179</v>
      </c>
      <c r="X98" s="179">
        <v>88322386.296296284</v>
      </c>
      <c r="Y98" s="179">
        <v>102244362.22222221</v>
      </c>
      <c r="Z98" s="179">
        <v>110900457.03703703</v>
      </c>
      <c r="AA98" s="179">
        <v>115651918.88888888</v>
      </c>
      <c r="AB98" s="179">
        <v>125435589.99999999</v>
      </c>
      <c r="AC98" s="179">
        <v>131803552.22222221</v>
      </c>
      <c r="AD98" s="179">
        <v>145533310.74074072</v>
      </c>
      <c r="AE98" s="179">
        <v>167728455.18518516</v>
      </c>
      <c r="AF98" s="179">
        <v>187589522.59259257</v>
      </c>
      <c r="AG98" s="179">
        <v>215009569.62962961</v>
      </c>
      <c r="AH98" s="179">
        <v>236357523.7037037</v>
      </c>
      <c r="AI98" s="179">
        <v>267327642.22222221</v>
      </c>
      <c r="AJ98" s="179">
        <v>278098762.96296293</v>
      </c>
      <c r="AK98" s="179">
        <v>300757888.8888889</v>
      </c>
      <c r="AL98" s="179">
        <v>310160444.44444442</v>
      </c>
      <c r="AM98" s="179">
        <v>309812185.18518519</v>
      </c>
      <c r="AN98" s="179">
        <v>325111814.81481481</v>
      </c>
      <c r="AO98" s="179">
        <v>342172518.51851851</v>
      </c>
      <c r="AP98" s="179">
        <v>366911444.44444442</v>
      </c>
      <c r="AQ98" s="179">
        <v>392190592.5925926</v>
      </c>
      <c r="AR98" s="179">
        <v>445903592.59259254</v>
      </c>
      <c r="AS98" s="179">
        <v>482009370.37037033</v>
      </c>
      <c r="AT98" s="179">
        <v>520044370.37037033</v>
      </c>
      <c r="AU98" s="179">
        <v>520444185.18518513</v>
      </c>
      <c r="AV98" s="179">
        <v>540336925.92592585</v>
      </c>
      <c r="AW98" s="179">
        <v>591018407.4074074</v>
      </c>
      <c r="AX98" s="179">
        <v>599118592.5925926</v>
      </c>
      <c r="AY98" s="179">
        <v>695555555.55555546</v>
      </c>
      <c r="AZ98" s="179">
        <v>698700666.66666663</v>
      </c>
      <c r="BA98" s="179">
        <v>758683592.5925926</v>
      </c>
      <c r="BB98" s="179">
        <v>825976037.03703701</v>
      </c>
      <c r="BC98" s="179">
        <v>771275555.55555546</v>
      </c>
      <c r="BD98" s="179">
        <v>771014814.81481469</v>
      </c>
      <c r="BE98" s="179">
        <v>778655555.55555546</v>
      </c>
      <c r="BF98" s="179">
        <v>799881481.48148143</v>
      </c>
      <c r="BG98" s="179">
        <v>842618518.51851845</v>
      </c>
      <c r="BH98" s="179">
        <v>911496296.29629624</v>
      </c>
      <c r="BI98" s="179">
        <v>997007407.40740728</v>
      </c>
      <c r="BJ98" s="179">
        <v>1061640740.7407407</v>
      </c>
      <c r="BK98" s="179">
        <v>1125685185.1851852</v>
      </c>
      <c r="BL98" s="179">
        <v>1166514814.8148148</v>
      </c>
      <c r="BM98" s="179">
        <v>1213485185.1851852</v>
      </c>
      <c r="BN98" s="179">
        <v>1043411111.111111</v>
      </c>
      <c r="BO98" s="179">
        <v>1122800000</v>
      </c>
      <c r="BP98" s="179">
        <v>1256413185.1851852</v>
      </c>
    </row>
    <row r="99" spans="1:68">
      <c r="A99" s="179" t="s">
        <v>664</v>
      </c>
      <c r="B99" s="179">
        <f t="shared" si="1"/>
        <v>0</v>
      </c>
      <c r="C99" s="179" t="s">
        <v>665</v>
      </c>
      <c r="D99" s="179" t="s">
        <v>494</v>
      </c>
      <c r="E99" s="179" t="s">
        <v>495</v>
      </c>
      <c r="AV99" s="179">
        <v>3394000000</v>
      </c>
      <c r="AW99" s="179">
        <v>3569000000</v>
      </c>
      <c r="AX99" s="179">
        <v>3869000000</v>
      </c>
      <c r="AY99" s="179">
        <v>4213000000</v>
      </c>
      <c r="AZ99" s="179">
        <v>4238000000</v>
      </c>
      <c r="BA99" s="179">
        <v>4397000000</v>
      </c>
      <c r="BB99" s="179">
        <v>4658000000</v>
      </c>
      <c r="BC99" s="179">
        <v>4828000000</v>
      </c>
      <c r="BD99" s="179">
        <v>4949000000</v>
      </c>
      <c r="BE99" s="179">
        <v>4984000000</v>
      </c>
      <c r="BF99" s="179">
        <v>5265000000</v>
      </c>
      <c r="BG99" s="179">
        <v>5399000000</v>
      </c>
      <c r="BH99" s="179">
        <v>5610000000</v>
      </c>
      <c r="BI99" s="179">
        <v>5799000000</v>
      </c>
      <c r="BJ99" s="179">
        <v>5901000000</v>
      </c>
      <c r="BK99" s="179">
        <v>6013000000</v>
      </c>
      <c r="BL99" s="179">
        <v>6056000000</v>
      </c>
      <c r="BM99" s="179">
        <v>6366000000</v>
      </c>
      <c r="BN99" s="179">
        <v>5886000000</v>
      </c>
      <c r="BO99" s="179">
        <v>6123000000</v>
      </c>
    </row>
    <row r="100" spans="1:68">
      <c r="A100" s="179" t="s">
        <v>662</v>
      </c>
      <c r="B100" s="179">
        <f t="shared" si="1"/>
        <v>0</v>
      </c>
      <c r="C100" s="179" t="s">
        <v>663</v>
      </c>
      <c r="D100" s="179" t="s">
        <v>494</v>
      </c>
      <c r="E100" s="179" t="s">
        <v>495</v>
      </c>
      <c r="F100" s="179">
        <v>1043599899.9999999</v>
      </c>
      <c r="G100" s="179">
        <v>1076699900</v>
      </c>
      <c r="H100" s="179">
        <v>1143600000</v>
      </c>
      <c r="I100" s="179">
        <v>1262800000</v>
      </c>
      <c r="J100" s="179">
        <v>1299099900</v>
      </c>
      <c r="K100" s="179">
        <v>1331399900</v>
      </c>
      <c r="L100" s="179">
        <v>1390700000</v>
      </c>
      <c r="M100" s="179">
        <v>1453500000</v>
      </c>
      <c r="N100" s="179">
        <v>1610500000</v>
      </c>
      <c r="O100" s="179">
        <v>1715399900</v>
      </c>
      <c r="P100" s="179">
        <v>1904000000</v>
      </c>
      <c r="Q100" s="179">
        <v>1984800000.1653993</v>
      </c>
      <c r="R100" s="179">
        <v>2101300000.0000002</v>
      </c>
      <c r="S100" s="179">
        <v>2569200100.2140994</v>
      </c>
      <c r="T100" s="179">
        <v>3161499901.58075</v>
      </c>
      <c r="U100" s="179">
        <v>3645900003.6458998</v>
      </c>
      <c r="V100" s="179">
        <v>4365300204.3653002</v>
      </c>
      <c r="W100" s="179">
        <v>5480500205.4805002</v>
      </c>
      <c r="X100" s="179">
        <v>6070600206.0706005</v>
      </c>
      <c r="Y100" s="179">
        <v>6902600206.9026003</v>
      </c>
      <c r="Z100" s="179">
        <v>7878700007.8787003</v>
      </c>
      <c r="AA100" s="179">
        <v>8607500308.6075001</v>
      </c>
      <c r="AB100" s="179">
        <v>8716999708.7169991</v>
      </c>
      <c r="AC100" s="179">
        <v>9050000409.0499992</v>
      </c>
      <c r="AD100" s="179">
        <v>9470000103.945837</v>
      </c>
      <c r="AE100" s="179">
        <v>9721652086.956522</v>
      </c>
      <c r="AF100" s="179">
        <v>7231963515.9817352</v>
      </c>
      <c r="AG100" s="179">
        <v>7084399840</v>
      </c>
      <c r="AH100" s="179">
        <v>7841602824.4274807</v>
      </c>
      <c r="AI100" s="179">
        <v>8410724360.795455</v>
      </c>
      <c r="AJ100" s="179">
        <v>7650196276.7350798</v>
      </c>
      <c r="AK100" s="179">
        <v>9406135143.4116535</v>
      </c>
      <c r="AL100" s="179">
        <v>10440781587.543491</v>
      </c>
      <c r="AM100" s="179">
        <v>11400018312.93018</v>
      </c>
      <c r="AN100" s="179">
        <v>12983233686.993782</v>
      </c>
      <c r="AO100" s="179">
        <v>14655404433.277115</v>
      </c>
      <c r="AP100" s="179">
        <v>15674835615.313896</v>
      </c>
      <c r="AQ100" s="179">
        <v>17790026221.613865</v>
      </c>
      <c r="AR100" s="179">
        <v>19395491992.99387</v>
      </c>
      <c r="AS100" s="179">
        <v>18318412251.364197</v>
      </c>
      <c r="AT100" s="179">
        <v>19288928615.93824</v>
      </c>
      <c r="AU100" s="179">
        <v>18405221418.466473</v>
      </c>
      <c r="AV100" s="179">
        <v>20444205991.024971</v>
      </c>
      <c r="AW100" s="179">
        <v>21576351798.914482</v>
      </c>
      <c r="AX100" s="179">
        <v>23577298589.15802</v>
      </c>
      <c r="AY100" s="179">
        <v>26783388709.178608</v>
      </c>
      <c r="AZ100" s="179">
        <v>29744247479.244316</v>
      </c>
      <c r="BA100" s="179">
        <v>33567850094.99926</v>
      </c>
      <c r="BB100" s="179">
        <v>38503718526.628113</v>
      </c>
      <c r="BC100" s="179">
        <v>37126146369.26078</v>
      </c>
      <c r="BD100" s="179">
        <v>40676579264.840111</v>
      </c>
      <c r="BE100" s="179">
        <v>46876004265.238602</v>
      </c>
      <c r="BF100" s="179">
        <v>49593926849.242928</v>
      </c>
      <c r="BG100" s="179">
        <v>52996447955.763237</v>
      </c>
      <c r="BH100" s="179">
        <v>57852150564.519981</v>
      </c>
      <c r="BI100" s="179">
        <v>62186064718.742386</v>
      </c>
      <c r="BJ100" s="179">
        <v>66053402744.7267</v>
      </c>
      <c r="BK100" s="179">
        <v>71653756504.162476</v>
      </c>
      <c r="BL100" s="179">
        <v>73328369925.847839</v>
      </c>
      <c r="BM100" s="179">
        <v>77172313916.421768</v>
      </c>
      <c r="BN100" s="179">
        <v>77715183063.205399</v>
      </c>
      <c r="BO100" s="179">
        <v>86053079767.350739</v>
      </c>
      <c r="BP100" s="179">
        <v>95003333381.193634</v>
      </c>
    </row>
    <row r="101" spans="1:68">
      <c r="A101" s="179" t="s">
        <v>649</v>
      </c>
      <c r="B101" s="179">
        <f t="shared" si="1"/>
        <v>1</v>
      </c>
      <c r="C101" s="179" t="s">
        <v>650</v>
      </c>
      <c r="D101" s="179" t="s">
        <v>494</v>
      </c>
      <c r="E101" s="179" t="s">
        <v>495</v>
      </c>
      <c r="AF101" s="179">
        <v>1995186720.7473328</v>
      </c>
      <c r="AG101" s="179">
        <v>2041538039.5772669</v>
      </c>
      <c r="AH101" s="179">
        <v>2384295814.8522263</v>
      </c>
      <c r="AI101" s="179">
        <v>2432029296.8062267</v>
      </c>
      <c r="AJ101" s="179">
        <v>2666750820.4998727</v>
      </c>
      <c r="AK101" s="179">
        <v>3015058205.5840101</v>
      </c>
      <c r="AL101" s="179">
        <v>3284620421.8471231</v>
      </c>
      <c r="AM101" s="179">
        <v>3279096491.818687</v>
      </c>
      <c r="AN101" s="179">
        <v>3383092769.8528538</v>
      </c>
      <c r="AO101" s="179">
        <v>3693710532.9119139</v>
      </c>
      <c r="AP101" s="179">
        <v>3868968366.1433678</v>
      </c>
      <c r="AQ101" s="179">
        <v>3783700461.6435938</v>
      </c>
      <c r="AR101" s="179">
        <v>3588375621.8256845</v>
      </c>
      <c r="AS101" s="179">
        <v>3461282459.96593</v>
      </c>
      <c r="AT101" s="179">
        <v>2995361112.0537968</v>
      </c>
      <c r="AU101" s="179">
        <v>2829435908.1630521</v>
      </c>
      <c r="AV101" s="179">
        <v>2950198723.6085849</v>
      </c>
      <c r="AW101" s="179">
        <v>3446441784.8225222</v>
      </c>
      <c r="AX101" s="179">
        <v>3635458213.6596208</v>
      </c>
      <c r="AY101" s="179">
        <v>2937071740.3914781</v>
      </c>
      <c r="AZ101" s="179">
        <v>4220019242.74824</v>
      </c>
      <c r="BA101" s="179">
        <v>6281917649.6670885</v>
      </c>
      <c r="BB101" s="179">
        <v>6964179187.5383558</v>
      </c>
      <c r="BC101" s="179">
        <v>6716904516.3008385</v>
      </c>
      <c r="BD101" s="179">
        <v>6853467832.676095</v>
      </c>
      <c r="BE101" s="179">
        <v>6785137215.232688</v>
      </c>
      <c r="BF101" s="179">
        <v>7638045225.6367617</v>
      </c>
      <c r="BG101" s="179">
        <v>8376613880.2574883</v>
      </c>
      <c r="BH101" s="179">
        <v>8778473643.019886</v>
      </c>
      <c r="BI101" s="179">
        <v>8794202394.7224464</v>
      </c>
      <c r="BJ101" s="179">
        <v>8595955600.7876987</v>
      </c>
      <c r="BK101" s="179">
        <v>10324668270.875994</v>
      </c>
      <c r="BL101" s="179">
        <v>11857030366.459799</v>
      </c>
      <c r="BM101" s="179">
        <v>13442861496.574669</v>
      </c>
      <c r="BN101" s="179">
        <v>14177835840.831108</v>
      </c>
      <c r="BO101" s="179">
        <v>16091817842.234802</v>
      </c>
      <c r="BP101" s="179">
        <v>21227749388.728706</v>
      </c>
    </row>
    <row r="102" spans="1:68">
      <c r="A102" s="179" t="s">
        <v>652</v>
      </c>
      <c r="B102" s="179">
        <f t="shared" si="1"/>
        <v>1</v>
      </c>
      <c r="C102" s="179" t="s">
        <v>653</v>
      </c>
      <c r="D102" s="179" t="s">
        <v>494</v>
      </c>
      <c r="E102" s="179" t="s">
        <v>495</v>
      </c>
      <c r="P102" s="179">
        <v>78733594.841185197</v>
      </c>
      <c r="Q102" s="179">
        <v>78540057.137247145</v>
      </c>
      <c r="R102" s="179">
        <v>87702828.565164089</v>
      </c>
      <c r="S102" s="179">
        <v>89374237.288135603</v>
      </c>
      <c r="T102" s="179">
        <v>98775328.947368428</v>
      </c>
      <c r="U102" s="179">
        <v>108985740.155434</v>
      </c>
      <c r="V102" s="179">
        <v>112386489.00567651</v>
      </c>
      <c r="W102" s="179">
        <v>114971207.20538434</v>
      </c>
      <c r="X102" s="179">
        <v>122666858.78962538</v>
      </c>
      <c r="Y102" s="179">
        <v>118537875.13304359</v>
      </c>
      <c r="Z102" s="179">
        <v>110653830.72270396</v>
      </c>
      <c r="AA102" s="179">
        <v>154731969.69696969</v>
      </c>
      <c r="AB102" s="179">
        <v>165523634.5037176</v>
      </c>
      <c r="AC102" s="179">
        <v>163577538.32631403</v>
      </c>
      <c r="AD102" s="179">
        <v>138478900.62860888</v>
      </c>
      <c r="AE102" s="179">
        <v>143856253.12724775</v>
      </c>
      <c r="AF102" s="179">
        <v>130225018.75115098</v>
      </c>
      <c r="AG102" s="179">
        <v>173836362.01067728</v>
      </c>
      <c r="AH102" s="179">
        <v>164458120.31802896</v>
      </c>
      <c r="AI102" s="179">
        <v>213143016.44637781</v>
      </c>
      <c r="AJ102" s="179">
        <v>243961995.51268718</v>
      </c>
      <c r="AK102" s="179">
        <v>257150374.06971148</v>
      </c>
      <c r="AL102" s="179">
        <v>226313443.74908602</v>
      </c>
      <c r="AM102" s="179">
        <v>236880821.65638769</v>
      </c>
      <c r="AN102" s="179">
        <v>235620043.50092721</v>
      </c>
      <c r="AO102" s="179">
        <v>253966922.27819756</v>
      </c>
      <c r="AP102" s="179">
        <v>270419779.41810745</v>
      </c>
      <c r="AQ102" s="179">
        <v>268551010.93962342</v>
      </c>
      <c r="AR102" s="179">
        <v>206457553.39803424</v>
      </c>
      <c r="AS102" s="179">
        <v>224446663.80054802</v>
      </c>
      <c r="AT102" s="179">
        <v>371095522.04925436</v>
      </c>
      <c r="AU102" s="179">
        <v>392621389.50761127</v>
      </c>
      <c r="AV102" s="179">
        <v>417806651.11985576</v>
      </c>
      <c r="AW102" s="179">
        <v>477458577.16163516</v>
      </c>
      <c r="AX102" s="179">
        <v>532062894.80153257</v>
      </c>
      <c r="AY102" s="179">
        <v>587029096.0291127</v>
      </c>
      <c r="AZ102" s="179">
        <v>592365659.8240068</v>
      </c>
      <c r="BA102" s="179">
        <v>696910784.01630175</v>
      </c>
      <c r="BB102" s="179">
        <v>868154627.86980569</v>
      </c>
      <c r="BC102" s="179">
        <v>830126428.78613353</v>
      </c>
      <c r="BD102" s="179">
        <v>849878489.11336434</v>
      </c>
      <c r="BE102" s="179">
        <v>1099818591.9572704</v>
      </c>
      <c r="BF102" s="179">
        <v>989271155.12690508</v>
      </c>
      <c r="BG102" s="179">
        <v>1046087367.449733</v>
      </c>
      <c r="BH102" s="179">
        <v>1054915581.3677446</v>
      </c>
      <c r="BI102" s="179">
        <v>1048229632.9972631</v>
      </c>
      <c r="BJ102" s="179">
        <v>1179004911.2607493</v>
      </c>
      <c r="BK102" s="179">
        <v>1350177012.2477086</v>
      </c>
      <c r="BL102" s="179">
        <v>1504630233.686389</v>
      </c>
      <c r="BM102" s="179">
        <v>1439638410.9959269</v>
      </c>
      <c r="BN102" s="179">
        <v>1431758231.6828716</v>
      </c>
      <c r="BO102" s="179">
        <v>1638517606.8857841</v>
      </c>
      <c r="BP102" s="179">
        <v>1633559092.0661118</v>
      </c>
    </row>
    <row r="103" spans="1:68">
      <c r="A103" s="179" t="s">
        <v>666</v>
      </c>
      <c r="B103" s="179">
        <f t="shared" si="1"/>
        <v>0</v>
      </c>
      <c r="C103" s="179" t="s">
        <v>667</v>
      </c>
      <c r="D103" s="179" t="s">
        <v>494</v>
      </c>
      <c r="E103" s="179" t="s">
        <v>495</v>
      </c>
      <c r="F103" s="179">
        <v>170216241.05514017</v>
      </c>
      <c r="G103" s="179">
        <v>185849535.29872397</v>
      </c>
      <c r="H103" s="179">
        <v>194949512.54498917</v>
      </c>
      <c r="I103" s="179">
        <v>175757893.86536577</v>
      </c>
      <c r="J103" s="179">
        <v>194774512.98256099</v>
      </c>
      <c r="K103" s="179">
        <v>213235294.11764705</v>
      </c>
      <c r="L103" s="179">
        <v>228705882.35294119</v>
      </c>
      <c r="M103" s="179">
        <v>250176470.58823529</v>
      </c>
      <c r="N103" s="179">
        <v>229749999.88512498</v>
      </c>
      <c r="O103" s="179">
        <v>249299999.87535</v>
      </c>
      <c r="P103" s="179">
        <v>267799999.86609998</v>
      </c>
      <c r="Q103" s="179">
        <v>282050000</v>
      </c>
      <c r="R103" s="179">
        <v>285380952.38095236</v>
      </c>
      <c r="S103" s="179">
        <v>307047619.04761904</v>
      </c>
      <c r="T103" s="179">
        <v>433954545.45454544</v>
      </c>
      <c r="U103" s="179">
        <v>494791666.66666669</v>
      </c>
      <c r="V103" s="179">
        <v>454440000</v>
      </c>
      <c r="W103" s="179">
        <v>449880000</v>
      </c>
      <c r="X103" s="179">
        <v>507080000</v>
      </c>
      <c r="Y103" s="179">
        <v>530440000</v>
      </c>
      <c r="Z103" s="179">
        <v>603200000</v>
      </c>
      <c r="AA103" s="179">
        <v>570357107.14285719</v>
      </c>
      <c r="AB103" s="179">
        <v>482000000.1606667</v>
      </c>
      <c r="AC103" s="179">
        <v>489333333.49644446</v>
      </c>
      <c r="AD103" s="179">
        <v>437631605.2631579</v>
      </c>
      <c r="AE103" s="179">
        <v>453488372.0930233</v>
      </c>
      <c r="AF103" s="179">
        <v>504651139.53488374</v>
      </c>
      <c r="AG103" s="179">
        <v>354591846.93877548</v>
      </c>
      <c r="AH103" s="179">
        <v>413799990</v>
      </c>
      <c r="AI103" s="179">
        <v>379779389.70588237</v>
      </c>
      <c r="AJ103" s="179">
        <v>396582263.29113925</v>
      </c>
      <c r="AK103" s="179">
        <v>348533094.8121646</v>
      </c>
      <c r="AL103" s="179">
        <v>373573141.48681056</v>
      </c>
      <c r="AM103" s="179">
        <v>454101382.48847932</v>
      </c>
      <c r="AN103" s="179">
        <v>540874934.20101225</v>
      </c>
      <c r="AO103" s="179">
        <v>621626785.91549301</v>
      </c>
      <c r="AP103" s="179">
        <v>705406001.42450142</v>
      </c>
      <c r="AQ103" s="179">
        <v>749138009.56453955</v>
      </c>
      <c r="AR103" s="179">
        <v>717530683.16956663</v>
      </c>
      <c r="AS103" s="179">
        <v>694754988.25829506</v>
      </c>
      <c r="AT103" s="179">
        <v>712667896.72751188</v>
      </c>
      <c r="AU103" s="179">
        <v>712167448.89561248</v>
      </c>
      <c r="AV103" s="179">
        <v>726131434.71533847</v>
      </c>
      <c r="AW103" s="179">
        <v>743063949.04020691</v>
      </c>
      <c r="AX103" s="179">
        <v>787814379.18384326</v>
      </c>
      <c r="AY103" s="179">
        <v>824880550.34396493</v>
      </c>
      <c r="AZ103" s="179">
        <v>2379817986.7291675</v>
      </c>
      <c r="BA103" s="179">
        <v>2730971599.8945656</v>
      </c>
      <c r="BB103" s="179">
        <v>3025187428.3843555</v>
      </c>
      <c r="BC103" s="179">
        <v>3165663152.7335134</v>
      </c>
      <c r="BD103" s="179">
        <v>3432912511.3049083</v>
      </c>
      <c r="BE103" s="179">
        <v>3691384317.521781</v>
      </c>
      <c r="BF103" s="179">
        <v>4063088529.1359196</v>
      </c>
      <c r="BG103" s="179">
        <v>4167800935.5994301</v>
      </c>
      <c r="BH103" s="179">
        <v>4127660158.4732251</v>
      </c>
      <c r="BI103" s="179">
        <v>4279840193.7046003</v>
      </c>
      <c r="BJ103" s="179">
        <v>4482697336.5617437</v>
      </c>
      <c r="BK103" s="179">
        <v>4748174334.1404362</v>
      </c>
      <c r="BL103" s="179">
        <v>4787637005.5363798</v>
      </c>
      <c r="BM103" s="179">
        <v>5173760191.8465223</v>
      </c>
      <c r="BN103" s="179">
        <v>5471256594.7242203</v>
      </c>
      <c r="BO103" s="179">
        <v>8044498800.9592323</v>
      </c>
      <c r="BP103" s="179">
        <v>15357537068.343403</v>
      </c>
    </row>
    <row r="104" spans="1:68">
      <c r="A104" s="179" t="s">
        <v>678</v>
      </c>
      <c r="B104" s="179">
        <f t="shared" si="1"/>
        <v>0</v>
      </c>
      <c r="C104" s="179" t="s">
        <v>679</v>
      </c>
      <c r="D104" s="179" t="s">
        <v>494</v>
      </c>
      <c r="E104" s="179" t="s">
        <v>495</v>
      </c>
      <c r="F104" s="179">
        <v>273187199.78145021</v>
      </c>
      <c r="G104" s="179">
        <v>271065999.78314716</v>
      </c>
      <c r="H104" s="179">
        <v>281896799.77448255</v>
      </c>
      <c r="I104" s="179">
        <v>294883399.76409328</v>
      </c>
      <c r="J104" s="179">
        <v>325281199.739775</v>
      </c>
      <c r="K104" s="179">
        <v>353251799.71739852</v>
      </c>
      <c r="L104" s="179">
        <v>368948599.70484108</v>
      </c>
      <c r="M104" s="179">
        <v>369124199.70470059</v>
      </c>
      <c r="N104" s="179">
        <v>367968799.70562494</v>
      </c>
      <c r="O104" s="179">
        <v>391820399.68654364</v>
      </c>
      <c r="P104" s="179">
        <v>331199999.73503995</v>
      </c>
      <c r="Q104" s="179">
        <v>362799999.70975995</v>
      </c>
      <c r="R104" s="179">
        <v>371998971.85506696</v>
      </c>
      <c r="S104" s="179">
        <v>466798975.00493836</v>
      </c>
      <c r="T104" s="179">
        <v>565399296.71813154</v>
      </c>
      <c r="U104" s="179">
        <v>681400000.13628006</v>
      </c>
      <c r="V104" s="179">
        <v>879000000.17579997</v>
      </c>
      <c r="W104" s="179">
        <v>947000000.18939996</v>
      </c>
      <c r="X104" s="179">
        <v>974200000.19484007</v>
      </c>
      <c r="Y104" s="179">
        <v>1080600000.21612</v>
      </c>
      <c r="Z104" s="179">
        <v>1383800000.2767601</v>
      </c>
      <c r="AA104" s="179">
        <v>1479400000.2958801</v>
      </c>
      <c r="AB104" s="179">
        <v>1474200000.2948401</v>
      </c>
      <c r="AC104" s="179">
        <v>1623600000.3247201</v>
      </c>
      <c r="AD104" s="179">
        <v>1816200000.2421613</v>
      </c>
      <c r="AE104" s="179">
        <v>2009400000</v>
      </c>
      <c r="AF104" s="179">
        <v>2318000000</v>
      </c>
      <c r="AG104" s="179">
        <v>2047200000</v>
      </c>
      <c r="AH104" s="179">
        <v>2613926800</v>
      </c>
      <c r="AI104" s="179">
        <v>2736243800</v>
      </c>
      <c r="AJ104" s="179">
        <v>3096289800</v>
      </c>
      <c r="AK104" s="179">
        <v>3473562850.2802219</v>
      </c>
      <c r="AL104" s="179">
        <v>2257129873.670814</v>
      </c>
      <c r="AM104" s="179">
        <v>1878253818.0835197</v>
      </c>
      <c r="AN104" s="179">
        <v>2167569095.1223598</v>
      </c>
      <c r="AO104" s="179">
        <v>2813313278.8108196</v>
      </c>
      <c r="AP104" s="179">
        <v>2907517543.3584623</v>
      </c>
      <c r="AQ104" s="179">
        <v>3338949151.5992718</v>
      </c>
      <c r="AR104" s="179">
        <v>3723903723.6377182</v>
      </c>
      <c r="AS104" s="179">
        <v>4153725966.885087</v>
      </c>
      <c r="AT104" s="179">
        <v>6813565983.1170788</v>
      </c>
      <c r="AU104" s="179">
        <v>6331970412.8850946</v>
      </c>
      <c r="AV104" s="179">
        <v>6205847136.9842224</v>
      </c>
      <c r="AW104" s="179">
        <v>5071947797.9827261</v>
      </c>
      <c r="AX104" s="179">
        <v>6087360734.560627</v>
      </c>
      <c r="AY104" s="179">
        <v>7030149790.9304228</v>
      </c>
      <c r="AZ104" s="179">
        <v>7638739123.5444393</v>
      </c>
      <c r="BA104" s="179">
        <v>9228637766.2431564</v>
      </c>
      <c r="BB104" s="179">
        <v>10432962724.761663</v>
      </c>
      <c r="BC104" s="179">
        <v>11597002929.79891</v>
      </c>
      <c r="BD104" s="179">
        <v>11859312627.076307</v>
      </c>
      <c r="BE104" s="179">
        <v>13008746038.8867</v>
      </c>
      <c r="BF104" s="179">
        <v>13708925402.936991</v>
      </c>
      <c r="BG104" s="179">
        <v>14902488489.054474</v>
      </c>
      <c r="BH104" s="179">
        <v>15146883647.376593</v>
      </c>
      <c r="BI104" s="179">
        <v>14849629407.954582</v>
      </c>
      <c r="BJ104" s="179">
        <v>14069277532.499874</v>
      </c>
      <c r="BK104" s="179">
        <v>15093357143.420015</v>
      </c>
      <c r="BL104" s="179">
        <v>16403864521.412119</v>
      </c>
      <c r="BM104" s="179">
        <v>15016090929.87443</v>
      </c>
      <c r="BN104" s="179">
        <v>14508222518.157993</v>
      </c>
      <c r="BO104" s="179">
        <v>20877414952.123581</v>
      </c>
      <c r="BP104" s="179">
        <v>20253551885.214645</v>
      </c>
    </row>
    <row r="105" spans="1:68">
      <c r="A105" s="179" t="s">
        <v>674</v>
      </c>
      <c r="B105" s="179">
        <f t="shared" si="1"/>
        <v>0</v>
      </c>
      <c r="C105" s="179" t="s">
        <v>675</v>
      </c>
      <c r="D105" s="179" t="s">
        <v>494</v>
      </c>
      <c r="E105" s="179" t="s">
        <v>495</v>
      </c>
      <c r="F105" s="179">
        <v>17292450314.772686</v>
      </c>
      <c r="G105" s="179">
        <v>17719500926.690468</v>
      </c>
      <c r="H105" s="179">
        <v>19291312491.523182</v>
      </c>
      <c r="I105" s="179">
        <v>23352325839.938015</v>
      </c>
      <c r="J105" s="179">
        <v>20816472041.235432</v>
      </c>
      <c r="K105" s="179">
        <v>24323923265.803936</v>
      </c>
      <c r="L105" s="179">
        <v>26501609734.397182</v>
      </c>
      <c r="M105" s="179">
        <v>25920628322.536209</v>
      </c>
      <c r="N105" s="179">
        <v>27476506890.415302</v>
      </c>
      <c r="O105" s="179">
        <v>30548727421.861511</v>
      </c>
      <c r="P105" s="179">
        <v>31962960653.614037</v>
      </c>
      <c r="Q105" s="179">
        <v>34354320283.64756</v>
      </c>
      <c r="R105" s="179">
        <v>37368293666.858109</v>
      </c>
      <c r="S105" s="179">
        <v>46136646050.391693</v>
      </c>
      <c r="T105" s="179">
        <v>54947655240.14904</v>
      </c>
      <c r="U105" s="179">
        <v>62791627878.733315</v>
      </c>
      <c r="V105" s="179">
        <v>66675385980.050453</v>
      </c>
      <c r="W105" s="179">
        <v>78348289023.163605</v>
      </c>
      <c r="X105" s="179">
        <v>92606200588.492187</v>
      </c>
      <c r="Y105" s="179">
        <v>102275368434.50804</v>
      </c>
      <c r="Z105" s="179">
        <v>111360591670.02251</v>
      </c>
      <c r="AA105" s="179">
        <v>109356958746.01178</v>
      </c>
      <c r="AB105" s="179">
        <v>107882949059.3848</v>
      </c>
      <c r="AC105" s="179">
        <v>103238056408.20763</v>
      </c>
      <c r="AD105" s="179">
        <v>103775370860.91006</v>
      </c>
      <c r="AE105" s="179">
        <v>103167273762.24878</v>
      </c>
      <c r="AF105" s="179">
        <v>118612183964.84201</v>
      </c>
      <c r="AG105" s="179">
        <v>130456353406.22687</v>
      </c>
      <c r="AH105" s="179">
        <v>137681617095.98389</v>
      </c>
      <c r="AI105" s="179">
        <v>140602461086.64856</v>
      </c>
      <c r="AJ105" s="179">
        <v>162560597218.28436</v>
      </c>
      <c r="AK105" s="179">
        <v>176588552457.84995</v>
      </c>
      <c r="AL105" s="179">
        <v>133058720157.9398</v>
      </c>
      <c r="AM105" s="179">
        <v>137974875225.50851</v>
      </c>
      <c r="AN105" s="179">
        <v>116858509287.21658</v>
      </c>
      <c r="AO105" s="179">
        <v>136471948148.07478</v>
      </c>
      <c r="AP105" s="179">
        <v>148315268097.9635</v>
      </c>
      <c r="AQ105" s="179">
        <v>154577457887.3006</v>
      </c>
      <c r="AR105" s="179">
        <v>163059826840.90521</v>
      </c>
      <c r="AS105" s="179">
        <v>163833164869.17825</v>
      </c>
      <c r="AT105" s="179">
        <v>177567717258.14276</v>
      </c>
      <c r="AU105" s="179">
        <v>172626762131.91458</v>
      </c>
      <c r="AV105" s="179">
        <v>186798471425.64062</v>
      </c>
      <c r="AW105" s="179">
        <v>211521311898.11484</v>
      </c>
      <c r="AX105" s="179">
        <v>243387232295.465</v>
      </c>
      <c r="AY105" s="179">
        <v>279221096803.81171</v>
      </c>
      <c r="AZ105" s="179">
        <v>329711051193.58881</v>
      </c>
      <c r="BA105" s="179">
        <v>394093813152.22198</v>
      </c>
      <c r="BB105" s="179">
        <v>469266243001.10577</v>
      </c>
      <c r="BC105" s="179">
        <v>474595462541.23523</v>
      </c>
      <c r="BD105" s="179">
        <v>524405539450.41736</v>
      </c>
      <c r="BE105" s="179">
        <v>588453270331.30908</v>
      </c>
      <c r="BF105" s="179">
        <v>609295540296.69165</v>
      </c>
      <c r="BG105" s="179">
        <v>677647202698.72534</v>
      </c>
      <c r="BH105" s="179">
        <v>719693866273.2511</v>
      </c>
      <c r="BI105" s="179">
        <v>698814203077.2489</v>
      </c>
      <c r="BJ105" s="179">
        <v>731974952060.24951</v>
      </c>
      <c r="BK105" s="179">
        <v>809850137940.15149</v>
      </c>
      <c r="BL105" s="179">
        <v>771241850302.93359</v>
      </c>
      <c r="BM105" s="179">
        <v>799160667507.73523</v>
      </c>
      <c r="BN105" s="179">
        <v>808664234946.37952</v>
      </c>
      <c r="BO105" s="179">
        <v>898771753067.72327</v>
      </c>
      <c r="BP105" s="179">
        <v>970109981803.9447</v>
      </c>
    </row>
    <row r="106" spans="1:68">
      <c r="A106" s="179" t="s">
        <v>668</v>
      </c>
      <c r="B106" s="179">
        <f t="shared" si="1"/>
        <v>0</v>
      </c>
      <c r="C106" s="179" t="s">
        <v>669</v>
      </c>
      <c r="D106" s="179" t="s">
        <v>494</v>
      </c>
      <c r="E106" s="179" t="s">
        <v>495</v>
      </c>
      <c r="F106" s="179">
        <v>1070309605652.2214</v>
      </c>
      <c r="G106" s="179">
        <v>1133274574092.2439</v>
      </c>
      <c r="H106" s="179">
        <v>1222979975247.0498</v>
      </c>
      <c r="I106" s="179">
        <v>1316949086916.012</v>
      </c>
      <c r="J106" s="179">
        <v>1437552390659.3792</v>
      </c>
      <c r="K106" s="179">
        <v>1561240421783.5081</v>
      </c>
      <c r="L106" s="179">
        <v>1712677609757.2827</v>
      </c>
      <c r="M106" s="179">
        <v>1837383236127.4946</v>
      </c>
      <c r="N106" s="179">
        <v>1991818708681.2861</v>
      </c>
      <c r="O106" s="179">
        <v>2191316414060.5134</v>
      </c>
      <c r="P106" s="179">
        <v>2394458719134.2974</v>
      </c>
      <c r="Q106" s="179">
        <v>2658213530866.9395</v>
      </c>
      <c r="R106" s="179">
        <v>3083424652587.8184</v>
      </c>
      <c r="S106" s="179">
        <v>3730782775772.6919</v>
      </c>
      <c r="T106" s="179">
        <v>4206610118501.2085</v>
      </c>
      <c r="U106" s="179">
        <v>4693794271015.3193</v>
      </c>
      <c r="V106" s="179">
        <v>5114713213062.7041</v>
      </c>
      <c r="W106" s="179">
        <v>5792021836211.4609</v>
      </c>
      <c r="X106" s="179">
        <v>6940227758015.9707</v>
      </c>
      <c r="Y106" s="179">
        <v>8024291970995.5107</v>
      </c>
      <c r="Z106" s="179">
        <v>8962568770036.1191</v>
      </c>
      <c r="AA106" s="179">
        <v>9098573566488.123</v>
      </c>
      <c r="AB106" s="179">
        <v>9014070180686.3906</v>
      </c>
      <c r="AC106" s="179">
        <v>9307274823050.0254</v>
      </c>
      <c r="AD106" s="179">
        <v>9708510805998.4648</v>
      </c>
      <c r="AE106" s="179">
        <v>10194067191689.469</v>
      </c>
      <c r="AF106" s="179">
        <v>12377564712374.391</v>
      </c>
      <c r="AG106" s="179">
        <v>14345410483598.262</v>
      </c>
      <c r="AH106" s="179">
        <v>16151219796861.895</v>
      </c>
      <c r="AI106" s="179">
        <v>16899764444681.352</v>
      </c>
      <c r="AJ106" s="179">
        <v>18985012664862.02</v>
      </c>
      <c r="AK106" s="179">
        <v>20077019486047.453</v>
      </c>
      <c r="AL106" s="179">
        <v>21595262628678.43</v>
      </c>
      <c r="AM106" s="179">
        <v>21761907547794.156</v>
      </c>
      <c r="AN106" s="179">
        <v>23425703507936.453</v>
      </c>
      <c r="AO106" s="179">
        <v>26016528623343.184</v>
      </c>
      <c r="AP106" s="179">
        <v>26240641324883.512</v>
      </c>
      <c r="AQ106" s="179">
        <v>25791737299604.699</v>
      </c>
      <c r="AR106" s="179">
        <v>25888469871146.711</v>
      </c>
      <c r="AS106" s="179">
        <v>27194827316557.09</v>
      </c>
      <c r="AT106" s="179">
        <v>27764050359632.164</v>
      </c>
      <c r="AU106" s="179">
        <v>27489066409393.734</v>
      </c>
      <c r="AV106" s="179">
        <v>28660868665486.43</v>
      </c>
      <c r="AW106" s="179">
        <v>32125480719417.43</v>
      </c>
      <c r="AX106" s="179">
        <v>35771600781058.945</v>
      </c>
      <c r="AY106" s="179">
        <v>37831114602373.781</v>
      </c>
      <c r="AZ106" s="179">
        <v>39962463041148.648</v>
      </c>
      <c r="BA106" s="179">
        <v>43756102613971.758</v>
      </c>
      <c r="BB106" s="179">
        <v>46623911291791.312</v>
      </c>
      <c r="BC106" s="179">
        <v>43669352938355</v>
      </c>
      <c r="BD106" s="179">
        <v>45759844719262.016</v>
      </c>
      <c r="BE106" s="179">
        <v>49412507535114.789</v>
      </c>
      <c r="BF106" s="179">
        <v>49446148147435.969</v>
      </c>
      <c r="BG106" s="179">
        <v>50054025962686.719</v>
      </c>
      <c r="BH106" s="179">
        <v>51134057169125.461</v>
      </c>
      <c r="BI106" s="179">
        <v>48273634988451.508</v>
      </c>
      <c r="BJ106" s="179">
        <v>49306277527564.344</v>
      </c>
      <c r="BK106" s="179">
        <v>51570870016899.758</v>
      </c>
      <c r="BL106" s="179">
        <v>54839704976037.125</v>
      </c>
      <c r="BM106" s="179">
        <v>55315474922573.344</v>
      </c>
      <c r="BN106" s="179">
        <v>53937976780898.133</v>
      </c>
      <c r="BO106" s="179">
        <v>60016712305060.203</v>
      </c>
      <c r="BP106" s="179">
        <v>61535768880816.664</v>
      </c>
    </row>
    <row r="107" spans="1:68">
      <c r="A107" s="179" t="s">
        <v>672</v>
      </c>
      <c r="B107" s="179">
        <f t="shared" si="1"/>
        <v>0</v>
      </c>
      <c r="C107" s="179" t="s">
        <v>673</v>
      </c>
      <c r="D107" s="179" t="s">
        <v>494</v>
      </c>
      <c r="E107" s="179" t="s">
        <v>495</v>
      </c>
      <c r="F107" s="179">
        <v>335649999.83217496</v>
      </c>
      <c r="G107" s="179">
        <v>356199999.82190001</v>
      </c>
      <c r="H107" s="179">
        <v>387749999.80612499</v>
      </c>
      <c r="I107" s="179">
        <v>410199999.7949</v>
      </c>
      <c r="J107" s="179">
        <v>456999999.77149999</v>
      </c>
      <c r="K107" s="179">
        <v>508649999.74567497</v>
      </c>
      <c r="L107" s="179">
        <v>549949999.72502494</v>
      </c>
      <c r="M107" s="179">
        <v>598099999.70095003</v>
      </c>
      <c r="N107" s="179">
        <v>646799999.67659998</v>
      </c>
      <c r="O107" s="179">
        <v>668000049.66599989</v>
      </c>
      <c r="P107" s="179">
        <v>722999999.63849998</v>
      </c>
      <c r="Q107" s="179">
        <v>730999999.66495717</v>
      </c>
      <c r="R107" s="179">
        <v>802996251.60654259</v>
      </c>
      <c r="S107" s="179">
        <v>912499599.45669055</v>
      </c>
      <c r="T107" s="179">
        <v>1034499999.7856154</v>
      </c>
      <c r="U107" s="179">
        <v>1124000000</v>
      </c>
      <c r="V107" s="179">
        <v>1347999950</v>
      </c>
      <c r="W107" s="179">
        <v>1669499950</v>
      </c>
      <c r="X107" s="179">
        <v>3097242093.1999998</v>
      </c>
      <c r="Y107" s="179">
        <v>3544281976.3000002</v>
      </c>
      <c r="Z107" s="179">
        <v>3968160046</v>
      </c>
      <c r="AA107" s="179">
        <v>4043894878.5999999</v>
      </c>
      <c r="AB107" s="179">
        <v>4266503525.5999999</v>
      </c>
      <c r="AC107" s="179">
        <v>4476697184.8499994</v>
      </c>
      <c r="AD107" s="179">
        <v>4915311846.5</v>
      </c>
      <c r="AE107" s="179">
        <v>5278120712.5</v>
      </c>
      <c r="AF107" s="179">
        <v>5677828959</v>
      </c>
      <c r="AG107" s="179">
        <v>6190521241.5</v>
      </c>
      <c r="AH107" s="179">
        <v>5902717091.4163084</v>
      </c>
      <c r="AI107" s="179">
        <v>5432344901.7241383</v>
      </c>
      <c r="AJ107" s="179">
        <v>4923009551.5564203</v>
      </c>
      <c r="AK107" s="179">
        <v>4648668478.5675325</v>
      </c>
      <c r="AL107" s="179">
        <v>4943700431.0736828</v>
      </c>
      <c r="AM107" s="179">
        <v>4926728932.9506912</v>
      </c>
      <c r="AN107" s="179">
        <v>4642280682.142518</v>
      </c>
      <c r="AO107" s="179">
        <v>5347445005.2137642</v>
      </c>
      <c r="AP107" s="179">
        <v>5215028986.4864864</v>
      </c>
      <c r="AQ107" s="179">
        <v>5737099650.190114</v>
      </c>
      <c r="AR107" s="179">
        <v>6366340265.8788776</v>
      </c>
      <c r="AS107" s="179">
        <v>6414520529.616725</v>
      </c>
      <c r="AT107" s="179">
        <v>7186638029.0587492</v>
      </c>
      <c r="AU107" s="179">
        <v>7651162302.3456039</v>
      </c>
      <c r="AV107" s="179">
        <v>7858255253.499856</v>
      </c>
      <c r="AW107" s="179">
        <v>8230391504.7742739</v>
      </c>
      <c r="AX107" s="179">
        <v>8869299234.3376961</v>
      </c>
      <c r="AY107" s="179">
        <v>9757012869.2616825</v>
      </c>
      <c r="AZ107" s="179">
        <v>10917476873.546001</v>
      </c>
      <c r="BA107" s="179">
        <v>12361257680.562687</v>
      </c>
      <c r="BB107" s="179">
        <v>13881731630.967588</v>
      </c>
      <c r="BC107" s="179">
        <v>14587496229.18111</v>
      </c>
      <c r="BD107" s="179">
        <v>15839344591.984165</v>
      </c>
      <c r="BE107" s="179">
        <v>17710275997.474922</v>
      </c>
      <c r="BF107" s="179">
        <v>18528554861.05154</v>
      </c>
      <c r="BG107" s="179">
        <v>18499729063.419189</v>
      </c>
      <c r="BH107" s="179">
        <v>19756533658.082214</v>
      </c>
      <c r="BI107" s="179">
        <v>20979791685.416042</v>
      </c>
      <c r="BJ107" s="179">
        <v>21717604580.862713</v>
      </c>
      <c r="BK107" s="179">
        <v>23136248046.297894</v>
      </c>
      <c r="BL107" s="179">
        <v>24067750465.936077</v>
      </c>
      <c r="BM107" s="179">
        <v>25089937108.668098</v>
      </c>
      <c r="BN107" s="179">
        <v>23827859694.792065</v>
      </c>
      <c r="BO107" s="179">
        <v>28488721296.201176</v>
      </c>
      <c r="BP107" s="179">
        <v>31717700115.254597</v>
      </c>
    </row>
    <row r="108" spans="1:68">
      <c r="A108" s="179" t="s">
        <v>670</v>
      </c>
      <c r="B108" s="179">
        <f t="shared" si="1"/>
        <v>0</v>
      </c>
      <c r="C108" s="179" t="s">
        <v>671</v>
      </c>
      <c r="D108" s="179" t="s">
        <v>494</v>
      </c>
      <c r="E108" s="179" t="s">
        <v>495</v>
      </c>
      <c r="F108" s="179">
        <v>1320796651.6945691</v>
      </c>
      <c r="G108" s="179">
        <v>1383681651.1377556</v>
      </c>
      <c r="H108" s="179">
        <v>1612346412.2647462</v>
      </c>
      <c r="I108" s="179">
        <v>1935298266.45384</v>
      </c>
      <c r="J108" s="179">
        <v>2206466461.264338</v>
      </c>
      <c r="K108" s="179">
        <v>2435078534.0314136</v>
      </c>
      <c r="L108" s="179">
        <v>2489845016.6489425</v>
      </c>
      <c r="M108" s="179">
        <v>2692474989.1257071</v>
      </c>
      <c r="N108" s="179">
        <v>2716964388.4241838</v>
      </c>
      <c r="O108" s="179">
        <v>3189740055.1398187</v>
      </c>
      <c r="P108" s="179">
        <v>3800766535.6208773</v>
      </c>
      <c r="Q108" s="179">
        <v>4476001946.014864</v>
      </c>
      <c r="R108" s="179">
        <v>5710090550.6257334</v>
      </c>
      <c r="S108" s="179">
        <v>8030117555.6203251</v>
      </c>
      <c r="T108" s="179">
        <v>9388694744.8616295</v>
      </c>
      <c r="U108" s="179">
        <v>10048090236.906023</v>
      </c>
      <c r="V108" s="179">
        <v>12876366008.807699</v>
      </c>
      <c r="W108" s="179">
        <v>15719433719.714693</v>
      </c>
      <c r="X108" s="179">
        <v>18315137712.944199</v>
      </c>
      <c r="Y108" s="179">
        <v>22526186035.240833</v>
      </c>
      <c r="Z108" s="179">
        <v>28861855877.279675</v>
      </c>
      <c r="AA108" s="179">
        <v>31055224236.641243</v>
      </c>
      <c r="AB108" s="179">
        <v>32291217616.935963</v>
      </c>
      <c r="AC108" s="179">
        <v>29907228556.696434</v>
      </c>
      <c r="AD108" s="179">
        <v>33511383985.674088</v>
      </c>
      <c r="AE108" s="179">
        <v>35699772165.709335</v>
      </c>
      <c r="AF108" s="179">
        <v>41075395130.286217</v>
      </c>
      <c r="AG108" s="179">
        <v>50622896162.600578</v>
      </c>
      <c r="AH108" s="179">
        <v>59707404560.594414</v>
      </c>
      <c r="AI108" s="179">
        <v>68790222117.757645</v>
      </c>
      <c r="AJ108" s="179">
        <v>76928784620.815811</v>
      </c>
      <c r="AK108" s="179">
        <v>88960001715.744049</v>
      </c>
      <c r="AL108" s="179">
        <v>104272503148.98753</v>
      </c>
      <c r="AM108" s="179">
        <v>120354207288.82765</v>
      </c>
      <c r="AN108" s="179">
        <v>135811776884.01025</v>
      </c>
      <c r="AO108" s="179">
        <v>144652289130.66904</v>
      </c>
      <c r="AP108" s="179">
        <v>159718180108.94171</v>
      </c>
      <c r="AQ108" s="179">
        <v>177353167213.82065</v>
      </c>
      <c r="AR108" s="179">
        <v>168885436391.80588</v>
      </c>
      <c r="AS108" s="179">
        <v>165768095391.55655</v>
      </c>
      <c r="AT108" s="179">
        <v>171668898538.9436</v>
      </c>
      <c r="AU108" s="179">
        <v>169404327616.60522</v>
      </c>
      <c r="AV108" s="179">
        <v>166348873240.94153</v>
      </c>
      <c r="AW108" s="179">
        <v>161385558801.81079</v>
      </c>
      <c r="AX108" s="179">
        <v>169099768875.1926</v>
      </c>
      <c r="AY108" s="179">
        <v>181569303960.22638</v>
      </c>
      <c r="AZ108" s="179">
        <v>193535434591.37048</v>
      </c>
      <c r="BA108" s="179">
        <v>211596953544.76208</v>
      </c>
      <c r="BB108" s="179">
        <v>219278739753.00195</v>
      </c>
      <c r="BC108" s="179">
        <v>214047795659.04471</v>
      </c>
      <c r="BD108" s="179">
        <v>228638678536.95154</v>
      </c>
      <c r="BE108" s="179">
        <v>248513617677.28674</v>
      </c>
      <c r="BF108" s="179">
        <v>262628877166.2171</v>
      </c>
      <c r="BG108" s="179">
        <v>275696879834.96649</v>
      </c>
      <c r="BH108" s="179">
        <v>291459983449.58044</v>
      </c>
      <c r="BI108" s="179">
        <v>309385622601.34808</v>
      </c>
      <c r="BJ108" s="179">
        <v>320860317562.56238</v>
      </c>
      <c r="BK108" s="179">
        <v>341273289534.46594</v>
      </c>
      <c r="BL108" s="179">
        <v>361731070995.72626</v>
      </c>
      <c r="BM108" s="179">
        <v>363074560517.27606</v>
      </c>
      <c r="BN108" s="179">
        <v>344943149590.05829</v>
      </c>
      <c r="BO108" s="179">
        <v>368911387845.4176</v>
      </c>
      <c r="BP108" s="179">
        <v>359838598806.0907</v>
      </c>
    </row>
    <row r="109" spans="1:68">
      <c r="A109" s="179" t="s">
        <v>680</v>
      </c>
      <c r="B109" s="179">
        <f t="shared" si="1"/>
        <v>1</v>
      </c>
      <c r="C109" s="179" t="s">
        <v>681</v>
      </c>
      <c r="D109" s="179" t="s">
        <v>494</v>
      </c>
      <c r="E109" s="179" t="s">
        <v>495</v>
      </c>
      <c r="AK109" s="179">
        <v>34753569692.914963</v>
      </c>
      <c r="AL109" s="179">
        <v>38730585922.218864</v>
      </c>
      <c r="AM109" s="179">
        <v>40124916940.594467</v>
      </c>
      <c r="AN109" s="179">
        <v>43166678735.218323</v>
      </c>
      <c r="AO109" s="179">
        <v>46425677734.143517</v>
      </c>
      <c r="AP109" s="179">
        <v>46658765340.437515</v>
      </c>
      <c r="AQ109" s="179">
        <v>47296961369.10144</v>
      </c>
      <c r="AR109" s="179">
        <v>48706794878.771072</v>
      </c>
      <c r="AS109" s="179">
        <v>49073373275.937874</v>
      </c>
      <c r="AT109" s="179">
        <v>47218411470.253769</v>
      </c>
      <c r="AU109" s="179">
        <v>53749989092.019722</v>
      </c>
      <c r="AV109" s="179">
        <v>67608919144.368355</v>
      </c>
      <c r="AW109" s="179">
        <v>85285075491.885971</v>
      </c>
      <c r="AX109" s="179">
        <v>104120803140.22089</v>
      </c>
      <c r="AY109" s="179">
        <v>113211158292.93649</v>
      </c>
      <c r="AZ109" s="179">
        <v>115715618613.05196</v>
      </c>
      <c r="BA109" s="179">
        <v>140186691233.53223</v>
      </c>
      <c r="BB109" s="179">
        <v>158325583917.57401</v>
      </c>
      <c r="BC109" s="179">
        <v>131069277212.63518</v>
      </c>
      <c r="BD109" s="179">
        <v>132175349953.71332</v>
      </c>
      <c r="BE109" s="179">
        <v>141942264554.47513</v>
      </c>
      <c r="BF109" s="179">
        <v>128814279315.1317</v>
      </c>
      <c r="BG109" s="179">
        <v>135684315697.71341</v>
      </c>
      <c r="BH109" s="179">
        <v>141033843265.66858</v>
      </c>
      <c r="BI109" s="179">
        <v>125174166987.37169</v>
      </c>
      <c r="BJ109" s="179">
        <v>128609822750.03862</v>
      </c>
      <c r="BK109" s="179">
        <v>143112196040.32568</v>
      </c>
      <c r="BL109" s="179">
        <v>160565642983.58676</v>
      </c>
      <c r="BM109" s="179">
        <v>164020460331.65897</v>
      </c>
      <c r="BN109" s="179">
        <v>157227094449.07394</v>
      </c>
      <c r="BO109" s="179">
        <v>182275444031.78961</v>
      </c>
      <c r="BP109" s="179">
        <v>178788572067.58902</v>
      </c>
    </row>
    <row r="110" spans="1:68">
      <c r="A110" s="179" t="s">
        <v>682</v>
      </c>
      <c r="B110" s="179">
        <f t="shared" si="1"/>
        <v>0</v>
      </c>
      <c r="C110" s="179" t="s">
        <v>683</v>
      </c>
      <c r="D110" s="179" t="s">
        <v>494</v>
      </c>
      <c r="E110" s="179" t="s">
        <v>495</v>
      </c>
      <c r="F110" s="179">
        <v>312847710618.94537</v>
      </c>
      <c r="G110" s="179">
        <v>309558648106.40179</v>
      </c>
      <c r="H110" s="179">
        <v>317296811852.14478</v>
      </c>
      <c r="I110" s="179">
        <v>340355731341.58191</v>
      </c>
      <c r="J110" s="179">
        <v>385694861547.25165</v>
      </c>
      <c r="K110" s="179">
        <v>422949538284.62634</v>
      </c>
      <c r="L110" s="179">
        <v>436648397312.29327</v>
      </c>
      <c r="M110" s="179">
        <v>448215720989.04871</v>
      </c>
      <c r="N110" s="179">
        <v>473404257947.55719</v>
      </c>
      <c r="O110" s="179">
        <v>528433899524.89728</v>
      </c>
      <c r="P110" s="179">
        <v>574979364132.60071</v>
      </c>
      <c r="Q110" s="179">
        <v>627486667752.12439</v>
      </c>
      <c r="R110" s="179">
        <v>706116891008.85986</v>
      </c>
      <c r="S110" s="179">
        <v>914768346940.19714</v>
      </c>
      <c r="T110" s="179">
        <v>1152536835908.1653</v>
      </c>
      <c r="U110" s="179">
        <v>1244887902983.4092</v>
      </c>
      <c r="V110" s="179">
        <v>1348869508762.0935</v>
      </c>
      <c r="W110" s="179">
        <v>1527707387232.1035</v>
      </c>
      <c r="X110" s="179">
        <v>1691716799777.7051</v>
      </c>
      <c r="Y110" s="179">
        <v>1970758429473.4514</v>
      </c>
      <c r="Z110" s="179">
        <v>2333234306398.2881</v>
      </c>
      <c r="AA110" s="179">
        <v>2516418067586.1143</v>
      </c>
      <c r="AB110" s="179">
        <v>2491063028144.2749</v>
      </c>
      <c r="AC110" s="179">
        <v>2452321862781.7275</v>
      </c>
      <c r="AD110" s="179">
        <v>2545964829024.5688</v>
      </c>
      <c r="AE110" s="179">
        <v>2642524425526.3184</v>
      </c>
      <c r="AF110" s="179">
        <v>2755085729092.6934</v>
      </c>
      <c r="AG110" s="179">
        <v>2836707800974.4512</v>
      </c>
      <c r="AH110" s="179">
        <v>3037192192086.1899</v>
      </c>
      <c r="AI110" s="179">
        <v>3164104713185.1226</v>
      </c>
      <c r="AJ110" s="179">
        <v>3638437908431.4048</v>
      </c>
      <c r="AK110" s="179">
        <v>3517602600753.9536</v>
      </c>
      <c r="AL110" s="179">
        <v>3701861762943.0586</v>
      </c>
      <c r="AM110" s="179">
        <v>3977963109219.5518</v>
      </c>
      <c r="AN110" s="179">
        <v>4332708771702.4912</v>
      </c>
      <c r="AO110" s="179">
        <v>4897137935207.4307</v>
      </c>
      <c r="AP110" s="179">
        <v>5348738916926.9629</v>
      </c>
      <c r="AQ110" s="179">
        <v>5671483037214.0098</v>
      </c>
      <c r="AR110" s="179">
        <v>5510045621255.4687</v>
      </c>
      <c r="AS110" s="179">
        <v>5366064673362.041</v>
      </c>
      <c r="AT110" s="179">
        <v>5839436714264.7148</v>
      </c>
      <c r="AU110" s="179">
        <v>5911673645506.4785</v>
      </c>
      <c r="AV110" s="179">
        <v>6001266668417.2949</v>
      </c>
      <c r="AW110" s="179">
        <v>6747932625643.0801</v>
      </c>
      <c r="AX110" s="179">
        <v>8043519579051.21</v>
      </c>
      <c r="AY110" s="179">
        <v>9615796081224.4648</v>
      </c>
      <c r="AZ110" s="179">
        <v>11403941454978.893</v>
      </c>
      <c r="BA110" s="179">
        <v>14166070736983.457</v>
      </c>
      <c r="BB110" s="179">
        <v>17000231113774.275</v>
      </c>
      <c r="BC110" s="179">
        <v>16487865779437.687</v>
      </c>
      <c r="BD110" s="179">
        <v>20048166862477.156</v>
      </c>
      <c r="BE110" s="179">
        <v>23739490220163.059</v>
      </c>
      <c r="BF110" s="179">
        <v>25231185297161.27</v>
      </c>
      <c r="BG110" s="179">
        <v>26621251796118.445</v>
      </c>
      <c r="BH110" s="179">
        <v>27519521640517.508</v>
      </c>
      <c r="BI110" s="179">
        <v>25774291128877.18</v>
      </c>
      <c r="BJ110" s="179">
        <v>25972093023068.707</v>
      </c>
      <c r="BK110" s="179">
        <v>28689022224808.437</v>
      </c>
      <c r="BL110" s="179">
        <v>30520147708889.992</v>
      </c>
      <c r="BM110" s="179">
        <v>31181885466267.434</v>
      </c>
      <c r="BN110" s="179">
        <v>30036645646514.105</v>
      </c>
      <c r="BO110" s="179">
        <v>35615582809272.977</v>
      </c>
      <c r="BP110" s="179">
        <v>37635709395799.719</v>
      </c>
    </row>
    <row r="111" spans="1:68">
      <c r="A111" s="179" t="s">
        <v>704</v>
      </c>
      <c r="B111" s="179">
        <f t="shared" si="1"/>
        <v>1</v>
      </c>
      <c r="C111" s="179" t="s">
        <v>705</v>
      </c>
      <c r="D111" s="179" t="s">
        <v>494</v>
      </c>
      <c r="E111" s="179" t="s">
        <v>495</v>
      </c>
      <c r="F111" s="179">
        <v>248434274.50325158</v>
      </c>
      <c r="G111" s="179">
        <v>253885451.99057224</v>
      </c>
      <c r="H111" s="179">
        <v>284916520.94716787</v>
      </c>
      <c r="I111" s="179">
        <v>340061655.83416659</v>
      </c>
      <c r="J111" s="179">
        <v>434267944.21185923</v>
      </c>
      <c r="K111" s="179">
        <v>523694958.17066306</v>
      </c>
      <c r="L111" s="179">
        <v>628893320.9676137</v>
      </c>
      <c r="M111" s="179">
        <v>621225998.64132655</v>
      </c>
      <c r="N111" s="179">
        <v>474399519.59457046</v>
      </c>
      <c r="O111" s="179">
        <v>414709309.10591495</v>
      </c>
      <c r="P111" s="179">
        <v>526704545.47360379</v>
      </c>
      <c r="Q111" s="179">
        <v>670251136.44933867</v>
      </c>
      <c r="R111" s="179">
        <v>839648790.66907549</v>
      </c>
      <c r="S111" s="179">
        <v>1154386886.4025817</v>
      </c>
      <c r="T111" s="179">
        <v>1515165330.1613495</v>
      </c>
      <c r="U111" s="179">
        <v>1406875081.327261</v>
      </c>
      <c r="V111" s="179">
        <v>1669473116.2875803</v>
      </c>
      <c r="W111" s="179">
        <v>2208509076.6389999</v>
      </c>
      <c r="X111" s="179">
        <v>2511818475.6276617</v>
      </c>
      <c r="Y111" s="179">
        <v>2853435054.3444242</v>
      </c>
      <c r="Z111" s="179">
        <v>3381389884.807178</v>
      </c>
      <c r="AA111" s="179">
        <v>3493005069.1071911</v>
      </c>
      <c r="AB111" s="179">
        <v>3206617990.900228</v>
      </c>
      <c r="AC111" s="179">
        <v>2765954047.0882387</v>
      </c>
      <c r="AD111" s="179">
        <v>2864437621.6606441</v>
      </c>
      <c r="AE111" s="179">
        <v>2984054752.9372058</v>
      </c>
      <c r="AF111" s="179">
        <v>3989626783.5026455</v>
      </c>
      <c r="AG111" s="179">
        <v>5520320783.4420938</v>
      </c>
      <c r="AH111" s="179">
        <v>6106638182.3895302</v>
      </c>
      <c r="AI111" s="179">
        <v>5672570277.7860937</v>
      </c>
      <c r="AJ111" s="179">
        <v>6468739130.22964</v>
      </c>
      <c r="AK111" s="179">
        <v>6909725408.1149902</v>
      </c>
      <c r="AL111" s="179">
        <v>7080977636.4156675</v>
      </c>
      <c r="AM111" s="179">
        <v>6218583218.0630322</v>
      </c>
      <c r="AN111" s="179">
        <v>6389462322.0493774</v>
      </c>
      <c r="AO111" s="179">
        <v>7123637088.754343</v>
      </c>
      <c r="AP111" s="179">
        <v>7426082270.676692</v>
      </c>
      <c r="AQ111" s="179">
        <v>7569673903.9617863</v>
      </c>
      <c r="AR111" s="179">
        <v>8503689103.9342375</v>
      </c>
      <c r="AS111" s="179">
        <v>8982048417.305563</v>
      </c>
      <c r="AT111" s="179">
        <v>9025660361.7584209</v>
      </c>
      <c r="AU111" s="179">
        <v>8234846522.8547192</v>
      </c>
      <c r="AV111" s="179">
        <v>9318398443.5514622</v>
      </c>
      <c r="AW111" s="179">
        <v>11429335645.274658</v>
      </c>
      <c r="AX111" s="179">
        <v>13825309101.270323</v>
      </c>
      <c r="AY111" s="179">
        <v>16852971986.556927</v>
      </c>
      <c r="AZ111" s="179">
        <v>17465318552.294098</v>
      </c>
      <c r="BA111" s="179">
        <v>21652505596.752789</v>
      </c>
      <c r="BB111" s="179">
        <v>18074619561.767139</v>
      </c>
      <c r="BC111" s="179">
        <v>13154416196.752424</v>
      </c>
      <c r="BD111" s="179">
        <v>13751161917.739773</v>
      </c>
      <c r="BE111" s="179">
        <v>15221622925.931889</v>
      </c>
      <c r="BF111" s="179">
        <v>14751508133.544277</v>
      </c>
      <c r="BG111" s="179">
        <v>16125060515.311741</v>
      </c>
      <c r="BH111" s="179">
        <v>17867662177.891129</v>
      </c>
      <c r="BI111" s="179">
        <v>17517210519.091156</v>
      </c>
      <c r="BJ111" s="179">
        <v>20793168030.952427</v>
      </c>
      <c r="BK111" s="179">
        <v>24728285177.460316</v>
      </c>
      <c r="BL111" s="179">
        <v>26260850582.06868</v>
      </c>
      <c r="BM111" s="179">
        <v>24663643101.958004</v>
      </c>
      <c r="BN111" s="179">
        <v>21553080483.813221</v>
      </c>
      <c r="BO111" s="179">
        <v>25552639899.066963</v>
      </c>
      <c r="BP111" s="179">
        <v>27841648044.375271</v>
      </c>
    </row>
    <row r="112" spans="1:68">
      <c r="A112" s="179" t="s">
        <v>684</v>
      </c>
      <c r="B112" s="179">
        <f t="shared" si="1"/>
        <v>0</v>
      </c>
      <c r="C112" s="179" t="s">
        <v>685</v>
      </c>
      <c r="D112" s="179" t="s">
        <v>494</v>
      </c>
      <c r="E112" s="179" t="s">
        <v>495</v>
      </c>
      <c r="F112" s="179">
        <v>351271390107.74329</v>
      </c>
      <c r="G112" s="179">
        <v>350792507441.112</v>
      </c>
      <c r="H112" s="179">
        <v>362178039570.06213</v>
      </c>
      <c r="I112" s="179">
        <v>390673356818.89301</v>
      </c>
      <c r="J112" s="179">
        <v>433787465166.33667</v>
      </c>
      <c r="K112" s="179">
        <v>477570690087.12903</v>
      </c>
      <c r="L112" s="179">
        <v>496238221381.3913</v>
      </c>
      <c r="M112" s="179">
        <v>508218462962.17371</v>
      </c>
      <c r="N112" s="179">
        <v>536462477460.47693</v>
      </c>
      <c r="O112" s="179">
        <v>599235406692.58777</v>
      </c>
      <c r="P112" s="179">
        <v>657852694284.39062</v>
      </c>
      <c r="Q112" s="179">
        <v>709722967090.34644</v>
      </c>
      <c r="R112" s="179">
        <v>791160280563.65149</v>
      </c>
      <c r="S112" s="179">
        <v>1011675036369.354</v>
      </c>
      <c r="T112" s="179">
        <v>1282877331903.4121</v>
      </c>
      <c r="U112" s="179">
        <v>1402503928502.2373</v>
      </c>
      <c r="V112" s="179">
        <v>1511505065576.2456</v>
      </c>
      <c r="W112" s="179">
        <v>1704528242516.2825</v>
      </c>
      <c r="X112" s="179">
        <v>1892704345565.3005</v>
      </c>
      <c r="Y112" s="179">
        <v>2204254696266.5464</v>
      </c>
      <c r="Z112" s="179">
        <v>2612608601648.5454</v>
      </c>
      <c r="AA112" s="179">
        <v>2938958646106.9419</v>
      </c>
      <c r="AB112" s="179">
        <v>2886738091442.2729</v>
      </c>
      <c r="AC112" s="179">
        <v>2779448084203.3311</v>
      </c>
      <c r="AD112" s="179">
        <v>2845219285275.3252</v>
      </c>
      <c r="AE112" s="179">
        <v>2947286345770.0273</v>
      </c>
      <c r="AF112" s="179">
        <v>3062487003592.8057</v>
      </c>
      <c r="AG112" s="179">
        <v>3170194994177.5825</v>
      </c>
      <c r="AH112" s="179">
        <v>3364776021250.5117</v>
      </c>
      <c r="AI112" s="179">
        <v>3496626582886.9434</v>
      </c>
      <c r="AJ112" s="179">
        <v>4017383514929.5366</v>
      </c>
      <c r="AK112" s="179">
        <v>3915793184881.1211</v>
      </c>
      <c r="AL112" s="179">
        <v>4063636192649.1221</v>
      </c>
      <c r="AM112" s="179">
        <v>4330925467103.7349</v>
      </c>
      <c r="AN112" s="179">
        <v>4685118960920.8535</v>
      </c>
      <c r="AO112" s="179">
        <v>5303331574441.8428</v>
      </c>
      <c r="AP112" s="179">
        <v>5805057320128.416</v>
      </c>
      <c r="AQ112" s="179">
        <v>6147194034003.1924</v>
      </c>
      <c r="AR112" s="179">
        <v>5994914072573.2373</v>
      </c>
      <c r="AS112" s="179">
        <v>5864975962199.998</v>
      </c>
      <c r="AT112" s="179">
        <v>6392236773484.9395</v>
      </c>
      <c r="AU112" s="179">
        <v>6467058819404.0117</v>
      </c>
      <c r="AV112" s="179">
        <v>6597179645796.5615</v>
      </c>
      <c r="AW112" s="179">
        <v>7411818808331.1611</v>
      </c>
      <c r="AX112" s="179">
        <v>8822574687641.8008</v>
      </c>
      <c r="AY112" s="179">
        <v>10526961170664.027</v>
      </c>
      <c r="AZ112" s="179">
        <v>12493276098307.363</v>
      </c>
      <c r="BA112" s="179">
        <v>15440043749347.977</v>
      </c>
      <c r="BB112" s="179">
        <v>18521254921505.875</v>
      </c>
      <c r="BC112" s="179">
        <v>18003100309250.699</v>
      </c>
      <c r="BD112" s="179">
        <v>21798451915412.328</v>
      </c>
      <c r="BE112" s="179">
        <v>25521665780816.398</v>
      </c>
      <c r="BF112" s="179">
        <v>27106356951918.176</v>
      </c>
      <c r="BG112" s="179">
        <v>28659297586380.91</v>
      </c>
      <c r="BH112" s="179">
        <v>29716965776742.883</v>
      </c>
      <c r="BI112" s="179">
        <v>27922343491136.941</v>
      </c>
      <c r="BJ112" s="179">
        <v>28162575334751.824</v>
      </c>
      <c r="BK112" s="179">
        <v>30978325716193.141</v>
      </c>
      <c r="BL112" s="179">
        <v>32893629417407.613</v>
      </c>
      <c r="BM112" s="179">
        <v>33639428774236.207</v>
      </c>
      <c r="BN112" s="179">
        <v>32450856363672.719</v>
      </c>
      <c r="BO112" s="179">
        <v>38246179203967.359</v>
      </c>
      <c r="BP112" s="179">
        <v>40448776490634.461</v>
      </c>
    </row>
    <row r="113" spans="1:68">
      <c r="A113" s="179" t="s">
        <v>688</v>
      </c>
      <c r="B113" s="179">
        <f t="shared" si="1"/>
        <v>0</v>
      </c>
      <c r="C113" s="179" t="s">
        <v>689</v>
      </c>
      <c r="D113" s="179" t="s">
        <v>494</v>
      </c>
      <c r="E113" s="179" t="s">
        <v>495</v>
      </c>
      <c r="F113" s="179">
        <v>12063716103.747467</v>
      </c>
      <c r="G113" s="179">
        <v>12910262578.401226</v>
      </c>
      <c r="H113" s="179">
        <v>13806159755.922466</v>
      </c>
      <c r="I113" s="179">
        <v>14612004567.717178</v>
      </c>
      <c r="J113" s="179">
        <v>15945614583.756088</v>
      </c>
      <c r="K113" s="179">
        <v>17314264918.664845</v>
      </c>
      <c r="L113" s="179">
        <v>18833729124.975529</v>
      </c>
      <c r="M113" s="179">
        <v>18930485110.743793</v>
      </c>
      <c r="N113" s="179">
        <v>19982447045.262897</v>
      </c>
      <c r="O113" s="179">
        <v>22860809160.256622</v>
      </c>
      <c r="P113" s="179">
        <v>31424774715.250294</v>
      </c>
      <c r="Q113" s="179">
        <v>29185227706.10474</v>
      </c>
      <c r="R113" s="179">
        <v>32770575917.460686</v>
      </c>
      <c r="S113" s="179">
        <v>34960184147.197769</v>
      </c>
      <c r="T113" s="179">
        <v>50396527690.386749</v>
      </c>
      <c r="U113" s="179">
        <v>57971333194.154701</v>
      </c>
      <c r="V113" s="179">
        <v>69959421026.518234</v>
      </c>
      <c r="W113" s="179">
        <v>73756383699.639587</v>
      </c>
      <c r="X113" s="179">
        <v>80183338760.429337</v>
      </c>
      <c r="Y113" s="179">
        <v>98426900974.466492</v>
      </c>
      <c r="Z113" s="179">
        <v>126262885823.11562</v>
      </c>
      <c r="AA113" s="179">
        <v>243040674356.80643</v>
      </c>
      <c r="AB113" s="179">
        <v>222134599186.92395</v>
      </c>
      <c r="AC113" s="179">
        <v>168564486625.02609</v>
      </c>
      <c r="AD113" s="179">
        <v>144656607095.24203</v>
      </c>
      <c r="AE113" s="179">
        <v>145317223261.02707</v>
      </c>
      <c r="AF113" s="179">
        <v>131018133500.04597</v>
      </c>
      <c r="AG113" s="179">
        <v>134041262796.61049</v>
      </c>
      <c r="AH113" s="179">
        <v>137620710028.00577</v>
      </c>
      <c r="AI113" s="179">
        <v>132645444778.80235</v>
      </c>
      <c r="AJ113" s="179">
        <v>146299168037.10983</v>
      </c>
      <c r="AK113" s="179">
        <v>146920446197.1265</v>
      </c>
      <c r="AL113" s="179">
        <v>147612421861.85474</v>
      </c>
      <c r="AM113" s="179">
        <v>132706122125.0148</v>
      </c>
      <c r="AN113" s="179">
        <v>133300725340.58946</v>
      </c>
      <c r="AO113" s="179">
        <v>156253994796.22266</v>
      </c>
      <c r="AP113" s="179">
        <v>172449894064.98743</v>
      </c>
      <c r="AQ113" s="179">
        <v>176072253065.30084</v>
      </c>
      <c r="AR113" s="179">
        <v>173821053311.18207</v>
      </c>
      <c r="AS113" s="179">
        <v>181554251968.96039</v>
      </c>
      <c r="AT113" s="179">
        <v>206736962646.80011</v>
      </c>
      <c r="AU113" s="179">
        <v>206419302736.92886</v>
      </c>
      <c r="AV113" s="179">
        <v>227772326360.28937</v>
      </c>
      <c r="AW113" s="179">
        <v>256311555309.27859</v>
      </c>
      <c r="AX113" s="179">
        <v>311522373743.72559</v>
      </c>
      <c r="AY113" s="179">
        <v>372742440249.26709</v>
      </c>
      <c r="AZ113" s="179">
        <v>469295440463.0014</v>
      </c>
      <c r="BA113" s="179">
        <v>541264522565.23627</v>
      </c>
      <c r="BB113" s="179">
        <v>640036074397.37903</v>
      </c>
      <c r="BC113" s="179">
        <v>606965502107.91406</v>
      </c>
      <c r="BD113" s="179">
        <v>715590112082.90063</v>
      </c>
      <c r="BE113" s="179">
        <v>823906283238.81531</v>
      </c>
      <c r="BF113" s="179">
        <v>909186219114.41541</v>
      </c>
      <c r="BG113" s="179">
        <v>989607127321.84131</v>
      </c>
      <c r="BH113" s="179">
        <v>1076979908548.0337</v>
      </c>
      <c r="BI113" s="179">
        <v>1017844957897.416</v>
      </c>
      <c r="BJ113" s="179">
        <v>977321951410.72766</v>
      </c>
      <c r="BK113" s="179">
        <v>960023974850.2915</v>
      </c>
      <c r="BL113" s="179">
        <v>1048863296886.9071</v>
      </c>
      <c r="BM113" s="179">
        <v>1069700472074.9744</v>
      </c>
      <c r="BN113" s="179">
        <v>1002567723026.3032</v>
      </c>
      <c r="BO113" s="179">
        <v>1096038565477.4154</v>
      </c>
      <c r="BP113" s="179">
        <v>1173302850133.1819</v>
      </c>
    </row>
    <row r="114" spans="1:68">
      <c r="A114" s="179" t="s">
        <v>692</v>
      </c>
      <c r="B114" s="179">
        <f t="shared" si="1"/>
        <v>0</v>
      </c>
      <c r="C114" s="179" t="s">
        <v>693</v>
      </c>
      <c r="D114" s="179" t="s">
        <v>494</v>
      </c>
      <c r="E114" s="179" t="s">
        <v>495</v>
      </c>
      <c r="F114" s="179">
        <v>27105173973.39753</v>
      </c>
      <c r="G114" s="179">
        <v>28350259476.585133</v>
      </c>
      <c r="H114" s="179">
        <v>30520380944.13538</v>
      </c>
      <c r="I114" s="179">
        <v>34907257225.368263</v>
      </c>
      <c r="J114" s="179">
        <v>32277415320.982994</v>
      </c>
      <c r="K114" s="179">
        <v>37261044147.577019</v>
      </c>
      <c r="L114" s="179">
        <v>40278560200.506729</v>
      </c>
      <c r="M114" s="179">
        <v>40746948796.841393</v>
      </c>
      <c r="N114" s="179">
        <v>42761290418.348953</v>
      </c>
      <c r="O114" s="179">
        <v>47485002146.866859</v>
      </c>
      <c r="P114" s="179">
        <v>49639453168.507492</v>
      </c>
      <c r="Q114" s="179">
        <v>52395188461.899368</v>
      </c>
      <c r="R114" s="179">
        <v>52164084218.752785</v>
      </c>
      <c r="S114" s="179">
        <v>63843359722.792542</v>
      </c>
      <c r="T114" s="179">
        <v>80855093444.035233</v>
      </c>
      <c r="U114" s="179">
        <v>98887800680.214844</v>
      </c>
      <c r="V114" s="179">
        <v>91502332691.859436</v>
      </c>
      <c r="W114" s="179">
        <v>103027185366.8325</v>
      </c>
      <c r="X114" s="179">
        <v>120580878439.347</v>
      </c>
      <c r="Y114" s="179">
        <v>134168317754.7085</v>
      </c>
      <c r="Z114" s="179">
        <v>150499207820.67151</v>
      </c>
      <c r="AA114" s="179">
        <v>154584364197.73883</v>
      </c>
      <c r="AB114" s="179">
        <v>152771439194.22995</v>
      </c>
      <c r="AC114" s="179">
        <v>148794901041.1925</v>
      </c>
      <c r="AD114" s="179">
        <v>151191821040.19547</v>
      </c>
      <c r="AE114" s="179">
        <v>156911943796.00211</v>
      </c>
      <c r="AF114" s="179">
        <v>176286391575.48752</v>
      </c>
      <c r="AG114" s="179">
        <v>197350220193.49109</v>
      </c>
      <c r="AH114" s="179">
        <v>190498314175.03125</v>
      </c>
      <c r="AI114" s="179">
        <v>199980515581.86212</v>
      </c>
      <c r="AJ114" s="179">
        <v>232630137929.56158</v>
      </c>
      <c r="AK114" s="179">
        <v>252280312321.05768</v>
      </c>
      <c r="AL114" s="179">
        <v>213915982271.23453</v>
      </c>
      <c r="AM114" s="179">
        <v>220372522126.73495</v>
      </c>
      <c r="AN114" s="179">
        <v>218693076613.18625</v>
      </c>
      <c r="AO114" s="179">
        <v>249492463233.90585</v>
      </c>
      <c r="AP114" s="179">
        <v>283806954525.85571</v>
      </c>
      <c r="AQ114" s="179">
        <v>299523051689.67651</v>
      </c>
      <c r="AR114" s="179">
        <v>311717453836.69159</v>
      </c>
      <c r="AS114" s="179">
        <v>318571678845.32135</v>
      </c>
      <c r="AT114" s="179">
        <v>347408785784.60504</v>
      </c>
      <c r="AU114" s="179">
        <v>350282700042.75647</v>
      </c>
      <c r="AV114" s="179">
        <v>369953470614.08459</v>
      </c>
      <c r="AW114" s="179">
        <v>409445511985.27594</v>
      </c>
      <c r="AX114" s="179">
        <v>469274900285.05176</v>
      </c>
      <c r="AY114" s="179">
        <v>539966731327.01324</v>
      </c>
      <c r="AZ114" s="179">
        <v>621350084131.20459</v>
      </c>
      <c r="BA114" s="179">
        <v>733404724665.70361</v>
      </c>
      <c r="BB114" s="179">
        <v>881879617320.97498</v>
      </c>
      <c r="BC114" s="179">
        <v>909363560234.375</v>
      </c>
      <c r="BD114" s="179">
        <v>1035735186761.6261</v>
      </c>
      <c r="BE114" s="179">
        <v>958377202447.04541</v>
      </c>
      <c r="BF114" s="179">
        <v>965873002611.24634</v>
      </c>
      <c r="BG114" s="179">
        <v>1048438662940.6039</v>
      </c>
      <c r="BH114" s="179">
        <v>1120464227677.3411</v>
      </c>
      <c r="BI114" s="179">
        <v>1128875314597.2422</v>
      </c>
      <c r="BJ114" s="179">
        <v>1211573767471.7104</v>
      </c>
      <c r="BK114" s="179">
        <v>1328753994737.0891</v>
      </c>
      <c r="BL114" s="179">
        <v>1324642536591.8108</v>
      </c>
      <c r="BM114" s="179">
        <v>1387560546701.7195</v>
      </c>
      <c r="BN114" s="179">
        <v>1410929236494.5354</v>
      </c>
      <c r="BO114" s="179">
        <v>1534883548261.9668</v>
      </c>
      <c r="BP114" s="179">
        <v>1639926057562.3606</v>
      </c>
    </row>
    <row r="115" spans="1:68">
      <c r="A115" s="179" t="s">
        <v>686</v>
      </c>
      <c r="B115" s="179">
        <f t="shared" si="1"/>
        <v>0</v>
      </c>
      <c r="C115" s="179" t="s">
        <v>687</v>
      </c>
      <c r="D115" s="179" t="s">
        <v>494</v>
      </c>
      <c r="E115" s="179" t="s">
        <v>495</v>
      </c>
      <c r="F115" s="179">
        <v>38320022083.144325</v>
      </c>
      <c r="G115" s="179">
        <v>40400043936.412338</v>
      </c>
      <c r="H115" s="179">
        <v>43393750351.950233</v>
      </c>
      <c r="I115" s="179">
        <v>48370130958.800606</v>
      </c>
      <c r="J115" s="179">
        <v>47330394529.871849</v>
      </c>
      <c r="K115" s="179">
        <v>53468536046.245621</v>
      </c>
      <c r="L115" s="179">
        <v>57924073847.914909</v>
      </c>
      <c r="M115" s="179">
        <v>58466985789.622589</v>
      </c>
      <c r="N115" s="179">
        <v>61480692436.859314</v>
      </c>
      <c r="O115" s="179">
        <v>68985085298.843826</v>
      </c>
      <c r="P115" s="179">
        <v>80115065650.167618</v>
      </c>
      <c r="Q115" s="179">
        <v>80333811803.579163</v>
      </c>
      <c r="R115" s="179">
        <v>83918830280.860825</v>
      </c>
      <c r="S115" s="179">
        <v>97248051627.35318</v>
      </c>
      <c r="T115" s="179">
        <v>129652908582.84749</v>
      </c>
      <c r="U115" s="179">
        <v>154660739085.54471</v>
      </c>
      <c r="V115" s="179">
        <v>160505749714.26437</v>
      </c>
      <c r="W115" s="179">
        <v>175375816534.45322</v>
      </c>
      <c r="X115" s="179">
        <v>198704575513.16547</v>
      </c>
      <c r="Y115" s="179">
        <v>230921468554.1423</v>
      </c>
      <c r="Z115" s="179">
        <v>275938398374.97009</v>
      </c>
      <c r="AA115" s="179">
        <v>403363550594.80518</v>
      </c>
      <c r="AB115" s="179">
        <v>379740257647.27246</v>
      </c>
      <c r="AC115" s="179">
        <v>319870919535.7439</v>
      </c>
      <c r="AD115" s="179">
        <v>297176525826.32196</v>
      </c>
      <c r="AE115" s="179">
        <v>303420381551.1059</v>
      </c>
      <c r="AF115" s="179">
        <v>307389061412.18134</v>
      </c>
      <c r="AG115" s="179">
        <v>331097179326.617</v>
      </c>
      <c r="AH115" s="179">
        <v>328077583890.6637</v>
      </c>
      <c r="AI115" s="179">
        <v>332445061090.59076</v>
      </c>
      <c r="AJ115" s="179">
        <v>378625893677.5578</v>
      </c>
      <c r="AK115" s="179">
        <v>398382717615.29425</v>
      </c>
      <c r="AL115" s="179">
        <v>361568265924.16553</v>
      </c>
      <c r="AM115" s="179">
        <v>352530368672.36975</v>
      </c>
      <c r="AN115" s="179">
        <v>351486400435.63245</v>
      </c>
      <c r="AO115" s="179">
        <v>405263109955.8938</v>
      </c>
      <c r="AP115" s="179">
        <v>455586035969.38531</v>
      </c>
      <c r="AQ115" s="179">
        <v>474751908908.9939</v>
      </c>
      <c r="AR115" s="179">
        <v>484445538274.85651</v>
      </c>
      <c r="AS115" s="179">
        <v>499098297624.17389</v>
      </c>
      <c r="AT115" s="179">
        <v>553224994016.66309</v>
      </c>
      <c r="AU115" s="179">
        <v>555728370769.75952</v>
      </c>
      <c r="AV115" s="179">
        <v>596913956893.63647</v>
      </c>
      <c r="AW115" s="179">
        <v>664923940273.57617</v>
      </c>
      <c r="AX115" s="179">
        <v>780117195842.13086</v>
      </c>
      <c r="AY115" s="179">
        <v>912147805680.73364</v>
      </c>
      <c r="AZ115" s="179">
        <v>1090624298175.3983</v>
      </c>
      <c r="BA115" s="179">
        <v>1274448228707.5825</v>
      </c>
      <c r="BB115" s="179">
        <v>1521482725374.4155</v>
      </c>
      <c r="BC115" s="179">
        <v>1515763269136.5112</v>
      </c>
      <c r="BD115" s="179">
        <v>1750735521057.769</v>
      </c>
      <c r="BE115" s="179">
        <v>1782101859063.5471</v>
      </c>
      <c r="BF115" s="179">
        <v>1875053620989.959</v>
      </c>
      <c r="BG115" s="179">
        <v>2038045790262.4451</v>
      </c>
      <c r="BH115" s="179">
        <v>2197444136225.375</v>
      </c>
      <c r="BI115" s="179">
        <v>2146720272494.6582</v>
      </c>
      <c r="BJ115" s="179">
        <v>2188895718882.4382</v>
      </c>
      <c r="BK115" s="179">
        <v>2288777969587.3804</v>
      </c>
      <c r="BL115" s="179">
        <v>2373505833478.7183</v>
      </c>
      <c r="BM115" s="179">
        <v>2457261018776.6958</v>
      </c>
      <c r="BN115" s="179">
        <v>2413496959520.8394</v>
      </c>
      <c r="BO115" s="179">
        <v>2630947161900.7041</v>
      </c>
      <c r="BP115" s="179">
        <v>2813266144561.7832</v>
      </c>
    </row>
    <row r="116" spans="1:68">
      <c r="A116" s="179" t="s">
        <v>696</v>
      </c>
      <c r="B116" s="179">
        <f t="shared" si="1"/>
        <v>0</v>
      </c>
      <c r="C116" s="179" t="s">
        <v>697</v>
      </c>
      <c r="D116" s="179" t="s">
        <v>494</v>
      </c>
      <c r="E116" s="179" t="s">
        <v>495</v>
      </c>
      <c r="F116" s="179">
        <v>37029883846.930275</v>
      </c>
      <c r="G116" s="179">
        <v>39232435753.042168</v>
      </c>
      <c r="H116" s="179">
        <v>42161481824.7743</v>
      </c>
      <c r="I116" s="179">
        <v>48421923420.870148</v>
      </c>
      <c r="J116" s="179">
        <v>56480289896.370522</v>
      </c>
      <c r="K116" s="179">
        <v>59554854575.808487</v>
      </c>
      <c r="L116" s="179">
        <v>45865462034.285713</v>
      </c>
      <c r="M116" s="179">
        <v>50134942160.549721</v>
      </c>
      <c r="N116" s="179">
        <v>53085455824.659271</v>
      </c>
      <c r="O116" s="179">
        <v>58447994966.678406</v>
      </c>
      <c r="P116" s="179">
        <v>62422483000.567184</v>
      </c>
      <c r="Q116" s="179">
        <v>67351407965.128098</v>
      </c>
      <c r="R116" s="179">
        <v>71463193831.009232</v>
      </c>
      <c r="S116" s="179">
        <v>85515269585.399963</v>
      </c>
      <c r="T116" s="179">
        <v>99525899116.05397</v>
      </c>
      <c r="U116" s="179">
        <v>98472796456.884003</v>
      </c>
      <c r="V116" s="179">
        <v>102717164466.39742</v>
      </c>
      <c r="W116" s="179">
        <v>121486645611.52187</v>
      </c>
      <c r="X116" s="179">
        <v>137300295313.29968</v>
      </c>
      <c r="Y116" s="179">
        <v>152991653793.7695</v>
      </c>
      <c r="Z116" s="179">
        <v>186325345086.66125</v>
      </c>
      <c r="AA116" s="179">
        <v>193491373249.40009</v>
      </c>
      <c r="AB116" s="179">
        <v>200715633588.78906</v>
      </c>
      <c r="AC116" s="179">
        <v>218262154670.61234</v>
      </c>
      <c r="AD116" s="179">
        <v>212157639237.20245</v>
      </c>
      <c r="AE116" s="179">
        <v>232511561180.05667</v>
      </c>
      <c r="AF116" s="179">
        <v>248985994042.21176</v>
      </c>
      <c r="AG116" s="179">
        <v>279033584092.22345</v>
      </c>
      <c r="AH116" s="179">
        <v>296589677725.07416</v>
      </c>
      <c r="AI116" s="179">
        <v>296042058867.0105</v>
      </c>
      <c r="AJ116" s="179">
        <v>320979026420.0351</v>
      </c>
      <c r="AK116" s="179">
        <v>270105341879.22638</v>
      </c>
      <c r="AL116" s="179">
        <v>288208066640.58398</v>
      </c>
      <c r="AM116" s="179">
        <v>279295644530.09015</v>
      </c>
      <c r="AN116" s="179">
        <v>327275583539.55865</v>
      </c>
      <c r="AO116" s="179">
        <v>360281907854.99371</v>
      </c>
      <c r="AP116" s="179">
        <v>392896860670.88458</v>
      </c>
      <c r="AQ116" s="179">
        <v>415867567334.18549</v>
      </c>
      <c r="AR116" s="179">
        <v>421351318896.8739</v>
      </c>
      <c r="AS116" s="179">
        <v>458820417337.80707</v>
      </c>
      <c r="AT116" s="179">
        <v>468394937262.36993</v>
      </c>
      <c r="AU116" s="179">
        <v>485441014538.63824</v>
      </c>
      <c r="AV116" s="179">
        <v>514937948870.08038</v>
      </c>
      <c r="AW116" s="179">
        <v>607699285433.87195</v>
      </c>
      <c r="AX116" s="179">
        <v>709148514804.65942</v>
      </c>
      <c r="AY116" s="179">
        <v>820381595512.90161</v>
      </c>
      <c r="AZ116" s="179">
        <v>940259888792.14136</v>
      </c>
      <c r="BA116" s="179">
        <v>1216736448906.293</v>
      </c>
      <c r="BB116" s="179">
        <v>1198895147694.7725</v>
      </c>
      <c r="BC116" s="179">
        <v>1341888016988.575</v>
      </c>
      <c r="BD116" s="179">
        <v>1675615502766.2007</v>
      </c>
      <c r="BE116" s="179">
        <v>1823051829894.5461</v>
      </c>
      <c r="BF116" s="179">
        <v>1827637579584.7917</v>
      </c>
      <c r="BG116" s="179">
        <v>1856721494834.6431</v>
      </c>
      <c r="BH116" s="179">
        <v>2039126469963.3477</v>
      </c>
      <c r="BI116" s="179">
        <v>2103588347241.7742</v>
      </c>
      <c r="BJ116" s="179">
        <v>2294796889945.0449</v>
      </c>
      <c r="BK116" s="179">
        <v>2651474263257.1538</v>
      </c>
      <c r="BL116" s="179">
        <v>2702929639861.5024</v>
      </c>
      <c r="BM116" s="179">
        <v>2835606242052.4839</v>
      </c>
      <c r="BN116" s="179">
        <v>2671595389575.7017</v>
      </c>
      <c r="BO116" s="179">
        <v>3150306834279.6479</v>
      </c>
      <c r="BP116" s="179">
        <v>3385089881935.3936</v>
      </c>
    </row>
    <row r="117" spans="1:68">
      <c r="A117" s="179" t="s">
        <v>690</v>
      </c>
      <c r="B117" s="179">
        <f t="shared" si="1"/>
        <v>0</v>
      </c>
      <c r="C117" s="179" t="s">
        <v>691</v>
      </c>
      <c r="D117" s="179" t="s">
        <v>494</v>
      </c>
      <c r="E117" s="179" t="s">
        <v>495</v>
      </c>
      <c r="M117" s="179">
        <v>5667756644.9716015</v>
      </c>
      <c r="N117" s="179">
        <v>7076465295.2735615</v>
      </c>
      <c r="O117" s="179">
        <v>8337423312.8834352</v>
      </c>
      <c r="P117" s="179">
        <v>9150684931.5068493</v>
      </c>
      <c r="Q117" s="179">
        <v>9333536359.7443104</v>
      </c>
      <c r="R117" s="179">
        <v>10997590361.445784</v>
      </c>
      <c r="S117" s="179">
        <v>16273253012.048193</v>
      </c>
      <c r="T117" s="179">
        <v>25802409638.554218</v>
      </c>
      <c r="U117" s="179">
        <v>30463855421.760155</v>
      </c>
      <c r="V117" s="179">
        <v>37269156626.595825</v>
      </c>
      <c r="W117" s="179">
        <v>45808915662.760986</v>
      </c>
      <c r="X117" s="179">
        <v>51455719100.269951</v>
      </c>
      <c r="Y117" s="179">
        <v>51400186379.187317</v>
      </c>
      <c r="Z117" s="179">
        <v>72482337370.855103</v>
      </c>
      <c r="AA117" s="179">
        <v>85518233450.181808</v>
      </c>
      <c r="AB117" s="179">
        <v>90158449307.259979</v>
      </c>
      <c r="AC117" s="179">
        <v>81052283404.217926</v>
      </c>
      <c r="AD117" s="179">
        <v>84853699994.567734</v>
      </c>
      <c r="AE117" s="179">
        <v>85289488375.468811</v>
      </c>
      <c r="AF117" s="179">
        <v>79954072569.463684</v>
      </c>
      <c r="AG117" s="179">
        <v>75929617576.228165</v>
      </c>
      <c r="AH117" s="179">
        <v>84300174475.795517</v>
      </c>
      <c r="AI117" s="179">
        <v>94451427898.007034</v>
      </c>
      <c r="AJ117" s="179">
        <v>106140727356.67451</v>
      </c>
      <c r="AK117" s="179">
        <v>116621996217.13341</v>
      </c>
      <c r="AL117" s="179">
        <v>128026966579.96375</v>
      </c>
      <c r="AM117" s="179">
        <v>158006700301.5332</v>
      </c>
      <c r="AN117" s="179">
        <v>176892143931.50528</v>
      </c>
      <c r="AO117" s="179">
        <v>202132028723.11533</v>
      </c>
      <c r="AP117" s="179">
        <v>227369679374.9733</v>
      </c>
      <c r="AQ117" s="179">
        <v>215748998609.63501</v>
      </c>
      <c r="AR117" s="179">
        <v>95445547872.715027</v>
      </c>
      <c r="AS117" s="179">
        <v>140001351215.46185</v>
      </c>
      <c r="AT117" s="179">
        <v>165021012077.80963</v>
      </c>
      <c r="AU117" s="179">
        <v>160446947784.90857</v>
      </c>
      <c r="AV117" s="179">
        <v>195660611165.18344</v>
      </c>
      <c r="AW117" s="179">
        <v>234772463823.80835</v>
      </c>
      <c r="AX117" s="179">
        <v>256836875295.4519</v>
      </c>
      <c r="AY117" s="179">
        <v>285868619205.9035</v>
      </c>
      <c r="AZ117" s="179">
        <v>364570515631.62451</v>
      </c>
      <c r="BA117" s="179">
        <v>432216737774.86053</v>
      </c>
      <c r="BB117" s="179">
        <v>510228634992.25824</v>
      </c>
      <c r="BC117" s="179">
        <v>539580085612.40143</v>
      </c>
      <c r="BD117" s="179">
        <v>755094157594.24768</v>
      </c>
      <c r="BE117" s="179">
        <v>892969104529.23291</v>
      </c>
      <c r="BF117" s="179">
        <v>917869913365.24316</v>
      </c>
      <c r="BG117" s="179">
        <v>912524136718.01819</v>
      </c>
      <c r="BH117" s="179">
        <v>890814755511.29126</v>
      </c>
      <c r="BI117" s="179">
        <v>860854232717.85266</v>
      </c>
      <c r="BJ117" s="179">
        <v>931877364033.90222</v>
      </c>
      <c r="BK117" s="179">
        <v>1015618744168.1512</v>
      </c>
      <c r="BL117" s="179">
        <v>1042271532953.3597</v>
      </c>
      <c r="BM117" s="179">
        <v>1119099871386.1587</v>
      </c>
      <c r="BN117" s="179">
        <v>1059054842711.7219</v>
      </c>
      <c r="BO117" s="179">
        <v>1186505455720.8091</v>
      </c>
      <c r="BP117" s="179">
        <v>1319100220389.0181</v>
      </c>
    </row>
    <row r="118" spans="1:68">
      <c r="A118" s="222" t="s">
        <v>1326</v>
      </c>
      <c r="B118" s="179">
        <f t="shared" si="1"/>
        <v>1</v>
      </c>
      <c r="C118" s="179" t="s">
        <v>701</v>
      </c>
      <c r="D118" s="179" t="s">
        <v>494</v>
      </c>
      <c r="E118" s="179" t="s">
        <v>495</v>
      </c>
      <c r="F118" s="179">
        <v>4199134385.7045617</v>
      </c>
      <c r="G118" s="179">
        <v>4426949090.4133549</v>
      </c>
      <c r="H118" s="179">
        <v>4693566411.7898932</v>
      </c>
      <c r="I118" s="179">
        <v>4928628013.4589634</v>
      </c>
      <c r="J118" s="179">
        <v>5379845642.3215399</v>
      </c>
      <c r="K118" s="179">
        <v>6197319922.8430634</v>
      </c>
      <c r="L118" s="179">
        <v>6789938664.9610062</v>
      </c>
      <c r="M118" s="179">
        <v>7555383682.6046171</v>
      </c>
      <c r="N118" s="179">
        <v>8623172951.2748604</v>
      </c>
      <c r="O118" s="179">
        <v>9743089597.752779</v>
      </c>
      <c r="P118" s="179">
        <v>10976245142.613142</v>
      </c>
      <c r="Q118" s="179">
        <v>13731802908.42436</v>
      </c>
      <c r="R118" s="179">
        <v>17153463263.108646</v>
      </c>
      <c r="S118" s="179">
        <v>27081698249.508286</v>
      </c>
      <c r="T118" s="179">
        <v>46209092072.138268</v>
      </c>
      <c r="U118" s="179">
        <v>51776222349.886902</v>
      </c>
      <c r="V118" s="179">
        <v>68055295080.753807</v>
      </c>
      <c r="W118" s="179">
        <v>80600122701.963196</v>
      </c>
      <c r="X118" s="179">
        <v>77994316621.481384</v>
      </c>
      <c r="Y118" s="179">
        <v>90391877325.928497</v>
      </c>
      <c r="Z118" s="179">
        <v>94362275580.022903</v>
      </c>
      <c r="AA118" s="179">
        <v>100499312749.92252</v>
      </c>
      <c r="AB118" s="179">
        <v>125948756439.48515</v>
      </c>
      <c r="AC118" s="179">
        <v>156365156618.24072</v>
      </c>
      <c r="AD118" s="179">
        <v>162276728619.51862</v>
      </c>
      <c r="AE118" s="179">
        <v>180183629599.68427</v>
      </c>
      <c r="AF118" s="179">
        <v>209094561833.48007</v>
      </c>
      <c r="AG118" s="179">
        <v>134009995923.16888</v>
      </c>
      <c r="AH118" s="179">
        <v>123057861333.90797</v>
      </c>
      <c r="AI118" s="179">
        <v>120496362916.27124</v>
      </c>
      <c r="AJ118" s="179">
        <v>124813263926.22499</v>
      </c>
      <c r="AM118" s="179">
        <v>63743623232.012009</v>
      </c>
      <c r="AN118" s="179">
        <v>71841461172.59639</v>
      </c>
      <c r="AO118" s="179">
        <v>96419225743.673676</v>
      </c>
      <c r="AP118" s="179">
        <v>120403931885.44078</v>
      </c>
      <c r="AQ118" s="179">
        <v>113919163421.15488</v>
      </c>
      <c r="AR118" s="179">
        <v>110276913362.5078</v>
      </c>
      <c r="AS118" s="179">
        <v>113848450088.35091</v>
      </c>
      <c r="AT118" s="179">
        <v>109591707802.21602</v>
      </c>
      <c r="AU118" s="179">
        <v>126878750295.94432</v>
      </c>
      <c r="AV118" s="179">
        <v>128626917503.71953</v>
      </c>
      <c r="AW118" s="179">
        <v>153544751395.43008</v>
      </c>
      <c r="AX118" s="179">
        <v>190043433964.84137</v>
      </c>
      <c r="AY118" s="179">
        <v>226452138291.54214</v>
      </c>
      <c r="AZ118" s="179">
        <v>266298911661.14447</v>
      </c>
      <c r="BA118" s="179">
        <v>349881601458.56036</v>
      </c>
      <c r="BB118" s="179">
        <v>412336172446.84943</v>
      </c>
      <c r="BC118" s="179">
        <v>416397025729.36102</v>
      </c>
      <c r="BD118" s="179">
        <v>486807616896.70306</v>
      </c>
      <c r="BE118" s="179">
        <v>626133112211.11096</v>
      </c>
      <c r="BF118" s="179">
        <v>644035512198.99182</v>
      </c>
      <c r="BG118" s="179">
        <v>492775566435.17584</v>
      </c>
      <c r="BH118" s="179">
        <v>460382791488.62628</v>
      </c>
      <c r="BI118" s="179">
        <v>408212917871.72485</v>
      </c>
      <c r="BJ118" s="179">
        <v>457954614595.2395</v>
      </c>
      <c r="BK118" s="179">
        <v>486630147094.68951</v>
      </c>
      <c r="BL118" s="179">
        <v>327900695065.85345</v>
      </c>
      <c r="BM118" s="179">
        <v>283649531542.6308</v>
      </c>
      <c r="BN118" s="179">
        <v>239735486745.7037</v>
      </c>
      <c r="BO118" s="179">
        <v>359096907772.98547</v>
      </c>
      <c r="BP118" s="179">
        <v>388544468139.73291</v>
      </c>
    </row>
    <row r="119" spans="1:68">
      <c r="A119" s="179" t="s">
        <v>702</v>
      </c>
      <c r="B119" s="179">
        <f t="shared" si="1"/>
        <v>1</v>
      </c>
      <c r="C119" s="179" t="s">
        <v>703</v>
      </c>
      <c r="D119" s="179" t="s">
        <v>494</v>
      </c>
      <c r="E119" s="179" t="s">
        <v>495</v>
      </c>
      <c r="F119" s="179">
        <v>1683918769.4635453</v>
      </c>
      <c r="G119" s="179">
        <v>1831479830.7047307</v>
      </c>
      <c r="H119" s="179">
        <v>1954399501.7581177</v>
      </c>
      <c r="I119" s="179">
        <v>1978199492.2809613</v>
      </c>
      <c r="J119" s="179">
        <v>2340239348.1166906</v>
      </c>
      <c r="N119" s="179">
        <v>2896598846.574338</v>
      </c>
      <c r="O119" s="179">
        <v>3007758802.3104439</v>
      </c>
      <c r="P119" s="179">
        <v>3281318693.3788948</v>
      </c>
      <c r="Q119" s="179">
        <v>3865346534.6534657</v>
      </c>
      <c r="R119" s="179">
        <v>4113848002.4031243</v>
      </c>
      <c r="S119" s="179">
        <v>5134367778.1446018</v>
      </c>
      <c r="T119" s="179">
        <v>11516762614.290552</v>
      </c>
      <c r="U119" s="179">
        <v>13458516762.61429</v>
      </c>
      <c r="V119" s="179">
        <v>17754825601.083645</v>
      </c>
      <c r="W119" s="179">
        <v>19838130714.527599</v>
      </c>
      <c r="X119" s="179">
        <v>23762275651.879444</v>
      </c>
      <c r="Y119" s="179">
        <v>37816457839.485268</v>
      </c>
      <c r="Z119" s="179">
        <v>52569000000</v>
      </c>
      <c r="AA119" s="179">
        <v>37823000000</v>
      </c>
      <c r="AB119" s="179">
        <v>42382333333.333336</v>
      </c>
      <c r="AC119" s="179">
        <v>40712903225.80645</v>
      </c>
      <c r="AD119" s="179">
        <v>46938387096.774193</v>
      </c>
      <c r="AE119" s="179">
        <v>48425161290.322578</v>
      </c>
      <c r="AF119" s="179">
        <v>47264516129.032257</v>
      </c>
      <c r="AG119" s="179">
        <v>56774193548.3871</v>
      </c>
      <c r="AH119" s="179">
        <v>62684516129.032257</v>
      </c>
      <c r="AI119" s="179">
        <v>65831935483.870972</v>
      </c>
      <c r="AJ119" s="179">
        <v>180408064516.12903</v>
      </c>
      <c r="AK119" s="179">
        <v>407796349.66378486</v>
      </c>
      <c r="AL119" s="179">
        <v>553671957.67195761</v>
      </c>
      <c r="AM119" s="179">
        <v>1031944881.1318939</v>
      </c>
      <c r="AN119" s="179">
        <v>3991349282.7572927</v>
      </c>
      <c r="AO119" s="179">
        <v>12894029888.112158</v>
      </c>
      <c r="AP119" s="179">
        <v>10433698621.342705</v>
      </c>
      <c r="AQ119" s="179">
        <v>20764857056.379494</v>
      </c>
      <c r="AR119" s="179">
        <v>20617405044.242462</v>
      </c>
      <c r="AS119" s="179">
        <v>36881601583.819359</v>
      </c>
      <c r="AT119" s="179">
        <v>48364250943.905067</v>
      </c>
      <c r="AU119" s="179">
        <v>36176430128.805725</v>
      </c>
      <c r="AV119" s="179">
        <v>32928454672.424591</v>
      </c>
      <c r="AW119" s="179">
        <v>21921569478.816261</v>
      </c>
      <c r="AX119" s="179">
        <v>36627901762.063011</v>
      </c>
      <c r="AY119" s="179">
        <v>49954890353.260872</v>
      </c>
      <c r="AZ119" s="179">
        <v>65140147197.121475</v>
      </c>
      <c r="BA119" s="179">
        <v>88837055195.261948</v>
      </c>
      <c r="BB119" s="179">
        <v>131614433712.24457</v>
      </c>
      <c r="BC119" s="179">
        <v>111657581662.34955</v>
      </c>
      <c r="BD119" s="179">
        <v>138516722649.57266</v>
      </c>
      <c r="BE119" s="179">
        <v>185749664444.44446</v>
      </c>
      <c r="BF119" s="179">
        <v>218002481737.69147</v>
      </c>
      <c r="BG119" s="179">
        <v>234637675128.64493</v>
      </c>
      <c r="BH119" s="179">
        <v>228415656174.95712</v>
      </c>
      <c r="BI119" s="179">
        <v>166774104911.47961</v>
      </c>
      <c r="BJ119" s="179">
        <v>166602488747.88495</v>
      </c>
      <c r="BK119" s="179">
        <v>187217660050.67569</v>
      </c>
      <c r="BL119" s="179">
        <v>227367469034.03085</v>
      </c>
      <c r="BM119" s="179">
        <v>233636097800.33844</v>
      </c>
      <c r="BN119" s="179">
        <v>180924091442.95303</v>
      </c>
      <c r="BO119" s="179">
        <v>207691599310.34482</v>
      </c>
      <c r="BP119" s="179">
        <v>264182173793.10345</v>
      </c>
    </row>
    <row r="120" spans="1:68">
      <c r="A120" s="179" t="s">
        <v>85</v>
      </c>
      <c r="B120" s="179">
        <f t="shared" si="1"/>
        <v>1</v>
      </c>
      <c r="C120" s="179" t="s">
        <v>700</v>
      </c>
      <c r="D120" s="179" t="s">
        <v>494</v>
      </c>
      <c r="E120" s="179" t="s">
        <v>495</v>
      </c>
      <c r="F120" s="179">
        <v>1939329775.4373901</v>
      </c>
      <c r="G120" s="179">
        <v>2088012282.3566668</v>
      </c>
      <c r="H120" s="179">
        <v>2260349684.086246</v>
      </c>
      <c r="I120" s="179">
        <v>2430843768.4455333</v>
      </c>
      <c r="J120" s="179">
        <v>2766608945.874023</v>
      </c>
      <c r="K120" s="179">
        <v>2945704142.9976544</v>
      </c>
      <c r="L120" s="179">
        <v>3104034393.2316236</v>
      </c>
      <c r="M120" s="179">
        <v>3343636773.3675852</v>
      </c>
      <c r="N120" s="179">
        <v>3278584478.3302269</v>
      </c>
      <c r="O120" s="179">
        <v>3787077343.7278252</v>
      </c>
      <c r="P120" s="179">
        <v>4395995085.9950857</v>
      </c>
      <c r="Q120" s="179">
        <v>5098250287.4664621</v>
      </c>
      <c r="R120" s="179">
        <v>6318060582.2187262</v>
      </c>
      <c r="S120" s="179">
        <v>7481173065.7920122</v>
      </c>
      <c r="T120" s="179">
        <v>7896860614.9880314</v>
      </c>
      <c r="U120" s="179">
        <v>9483808362.369339</v>
      </c>
      <c r="V120" s="179">
        <v>9453756014.7183704</v>
      </c>
      <c r="W120" s="179">
        <v>11248340431.377937</v>
      </c>
      <c r="X120" s="179">
        <v>14647996073.693748</v>
      </c>
      <c r="Y120" s="179">
        <v>18319334300.451324</v>
      </c>
      <c r="Z120" s="179">
        <v>21747855640.071209</v>
      </c>
      <c r="AA120" s="179">
        <v>20670190138.167068</v>
      </c>
      <c r="AB120" s="179">
        <v>21474752962.217751</v>
      </c>
      <c r="AC120" s="179">
        <v>20766047763.531368</v>
      </c>
      <c r="AD120" s="179">
        <v>20106648454.840363</v>
      </c>
      <c r="AE120" s="179">
        <v>21270013325.560089</v>
      </c>
      <c r="AF120" s="179">
        <v>28714571852.479866</v>
      </c>
      <c r="AG120" s="179">
        <v>33920518492.509361</v>
      </c>
      <c r="AH120" s="179">
        <v>37772896220.755852</v>
      </c>
      <c r="AI120" s="179">
        <v>39238392677.754211</v>
      </c>
      <c r="AJ120" s="179">
        <v>49305632408.492897</v>
      </c>
      <c r="AK120" s="179">
        <v>49787501584.484726</v>
      </c>
      <c r="AL120" s="179">
        <v>55918538121.398903</v>
      </c>
      <c r="AM120" s="179">
        <v>52417477613.67601</v>
      </c>
      <c r="AN120" s="179">
        <v>57097656065.959953</v>
      </c>
      <c r="AO120" s="179">
        <v>69139823232.323227</v>
      </c>
      <c r="AP120" s="179">
        <v>75790786290.322586</v>
      </c>
      <c r="AQ120" s="179">
        <v>82856648758.357208</v>
      </c>
      <c r="AR120" s="179">
        <v>90199410115.509689</v>
      </c>
      <c r="AS120" s="179">
        <v>98893958262.643845</v>
      </c>
      <c r="AT120" s="179">
        <v>100207610429.90924</v>
      </c>
      <c r="AU120" s="179">
        <v>109346669229.6954</v>
      </c>
      <c r="AV120" s="179">
        <v>128596035288.40102</v>
      </c>
      <c r="AW120" s="179">
        <v>164670771259.60202</v>
      </c>
      <c r="AX120" s="179">
        <v>194372115041.06497</v>
      </c>
      <c r="AY120" s="179">
        <v>211876989655.90652</v>
      </c>
      <c r="AZ120" s="179">
        <v>232180617162.2785</v>
      </c>
      <c r="BA120" s="179">
        <v>270079279419.50046</v>
      </c>
      <c r="BB120" s="179">
        <v>275447471451.06323</v>
      </c>
      <c r="BC120" s="179">
        <v>236443115853.69476</v>
      </c>
      <c r="BD120" s="179">
        <v>221913560882.37238</v>
      </c>
      <c r="BE120" s="179">
        <v>239003132208.13443</v>
      </c>
      <c r="BF120" s="179">
        <v>225628699652.99301</v>
      </c>
      <c r="BG120" s="179">
        <v>238340859896.93903</v>
      </c>
      <c r="BH120" s="179">
        <v>259170903647.53183</v>
      </c>
      <c r="BI120" s="179">
        <v>291775166506.89124</v>
      </c>
      <c r="BJ120" s="179">
        <v>299091127524.51331</v>
      </c>
      <c r="BK120" s="179">
        <v>336377500160.5495</v>
      </c>
      <c r="BL120" s="179">
        <v>385736680797.11127</v>
      </c>
      <c r="BM120" s="179">
        <v>399321701632.42358</v>
      </c>
      <c r="BN120" s="179">
        <v>425852281928.11371</v>
      </c>
      <c r="BO120" s="179">
        <v>504182603275.5423</v>
      </c>
      <c r="BP120" s="179">
        <v>529244870222.76471</v>
      </c>
    </row>
    <row r="121" spans="1:68">
      <c r="A121" s="179" t="s">
        <v>694</v>
      </c>
      <c r="B121" s="179">
        <f t="shared" si="1"/>
        <v>0</v>
      </c>
      <c r="C121" s="179" t="s">
        <v>695</v>
      </c>
      <c r="D121" s="179" t="s">
        <v>494</v>
      </c>
      <c r="E121" s="179" t="s">
        <v>495</v>
      </c>
      <c r="AO121" s="179">
        <v>914762873.68915319</v>
      </c>
      <c r="AP121" s="179">
        <v>1023005862.7792743</v>
      </c>
      <c r="AQ121" s="179">
        <v>1180968165.4085984</v>
      </c>
      <c r="AR121" s="179">
        <v>1382605389.3205488</v>
      </c>
      <c r="AS121" s="179">
        <v>1567402513.6964228</v>
      </c>
      <c r="AT121" s="179">
        <v>1563667799.6157825</v>
      </c>
      <c r="AU121" s="179">
        <v>1659131243.7383714</v>
      </c>
      <c r="AV121" s="179">
        <v>1947332921.7471831</v>
      </c>
      <c r="AW121" s="179">
        <v>2328658227.8481011</v>
      </c>
      <c r="AX121" s="179">
        <v>2822358473.1698322</v>
      </c>
      <c r="AY121" s="179">
        <v>3032409189.1187568</v>
      </c>
      <c r="AZ121" s="179">
        <v>3422735301.6939983</v>
      </c>
      <c r="BA121" s="179">
        <v>4466353634.8265676</v>
      </c>
      <c r="BB121" s="179">
        <v>5928788780.5539408</v>
      </c>
      <c r="BC121" s="179">
        <v>5486918994.7934465</v>
      </c>
      <c r="BD121" s="179">
        <v>5920366628.3317766</v>
      </c>
      <c r="BE121" s="179">
        <v>6565668780.7298422</v>
      </c>
      <c r="BF121" s="179">
        <v>6690228489.4281607</v>
      </c>
      <c r="BG121" s="179">
        <v>7001180245.7929754</v>
      </c>
      <c r="BH121" s="179">
        <v>7708459145.004734</v>
      </c>
      <c r="BI121" s="179">
        <v>7084795708.2686272</v>
      </c>
      <c r="BJ121" s="179">
        <v>6846373276.6206732</v>
      </c>
      <c r="BK121" s="179">
        <v>6979791187.0900822</v>
      </c>
      <c r="BL121" s="179">
        <v>7491654051.0801134</v>
      </c>
      <c r="BM121" s="179">
        <v>7314966839.1098137</v>
      </c>
      <c r="BN121" s="179">
        <v>6684229268.5298452</v>
      </c>
    </row>
    <row r="122" spans="1:68">
      <c r="A122" s="179" t="s">
        <v>706</v>
      </c>
      <c r="B122" s="179">
        <f t="shared" si="1"/>
        <v>1</v>
      </c>
      <c r="C122" s="179" t="s">
        <v>707</v>
      </c>
      <c r="D122" s="179" t="s">
        <v>494</v>
      </c>
      <c r="E122" s="179" t="s">
        <v>495</v>
      </c>
      <c r="F122" s="179">
        <v>2887228551.9474158</v>
      </c>
      <c r="G122" s="179">
        <v>3487229867.3415294</v>
      </c>
      <c r="H122" s="179">
        <v>2596557416.0721793</v>
      </c>
      <c r="I122" s="179">
        <v>2992339892.8311195</v>
      </c>
      <c r="J122" s="179">
        <v>3405340798.1689558</v>
      </c>
      <c r="K122" s="179">
        <v>3663341363.731091</v>
      </c>
      <c r="L122" s="179">
        <v>3980008724.5631685</v>
      </c>
      <c r="M122" s="179">
        <v>3921089676.4526896</v>
      </c>
      <c r="N122" s="179">
        <v>3959151535.796524</v>
      </c>
      <c r="O122" s="179">
        <v>4568010013.3012075</v>
      </c>
      <c r="AO122" s="179">
        <v>104893245478.82266</v>
      </c>
      <c r="AP122" s="179">
        <v>114507654661.38203</v>
      </c>
      <c r="AQ122" s="179">
        <v>118861100787.10481</v>
      </c>
      <c r="AR122" s="179">
        <v>120057482023.38112</v>
      </c>
      <c r="AS122" s="179">
        <v>120922450570.28853</v>
      </c>
      <c r="AT122" s="179">
        <v>136034659581.42587</v>
      </c>
      <c r="AU122" s="179">
        <v>134637422752.72549</v>
      </c>
      <c r="AV122" s="179">
        <v>125059962957.68628</v>
      </c>
      <c r="AW122" s="179">
        <v>131298954868.83719</v>
      </c>
      <c r="AX122" s="179">
        <v>139973668874.27078</v>
      </c>
      <c r="AY122" s="179">
        <v>147083996033.60297</v>
      </c>
      <c r="AZ122" s="179">
        <v>158670160184.1792</v>
      </c>
      <c r="BA122" s="179">
        <v>184052885585.91214</v>
      </c>
      <c r="BB122" s="179">
        <v>220529762562.36237</v>
      </c>
      <c r="BC122" s="179">
        <v>211968128528.44376</v>
      </c>
      <c r="BD122" s="179">
        <v>238364092298.02286</v>
      </c>
      <c r="BE122" s="179">
        <v>266791854430.89716</v>
      </c>
      <c r="BF122" s="179">
        <v>262282344091.84918</v>
      </c>
      <c r="BG122" s="179">
        <v>297732778479.1286</v>
      </c>
      <c r="BH122" s="179">
        <v>314330061977.26337</v>
      </c>
      <c r="BI122" s="179">
        <v>303414276832.04004</v>
      </c>
      <c r="BJ122" s="179">
        <v>322102790386.83502</v>
      </c>
      <c r="BK122" s="179">
        <v>358245427458.54095</v>
      </c>
      <c r="BL122" s="179">
        <v>376691526553.27637</v>
      </c>
      <c r="BM122" s="179">
        <v>402470513619.14801</v>
      </c>
      <c r="BN122" s="179">
        <v>413267669231.52216</v>
      </c>
      <c r="BO122" s="179">
        <v>488526545878.89136</v>
      </c>
      <c r="BP122" s="179">
        <v>522033446211.62488</v>
      </c>
    </row>
    <row r="123" spans="1:68">
      <c r="A123" s="179" t="s">
        <v>708</v>
      </c>
      <c r="B123" s="179">
        <f t="shared" si="1"/>
        <v>1</v>
      </c>
      <c r="C123" s="179" t="s">
        <v>709</v>
      </c>
      <c r="D123" s="179" t="s">
        <v>494</v>
      </c>
      <c r="E123" s="179" t="s">
        <v>495</v>
      </c>
      <c r="F123" s="179">
        <v>40385288344.191147</v>
      </c>
      <c r="G123" s="179">
        <v>44842760293.192383</v>
      </c>
      <c r="H123" s="179">
        <v>50383891898.991119</v>
      </c>
      <c r="I123" s="179">
        <v>57710743059.834145</v>
      </c>
      <c r="J123" s="179">
        <v>63175417019.009407</v>
      </c>
      <c r="K123" s="179">
        <v>67978153850.519081</v>
      </c>
      <c r="L123" s="179">
        <v>73654870011.275742</v>
      </c>
      <c r="M123" s="179">
        <v>81133120065.420242</v>
      </c>
      <c r="N123" s="179">
        <v>87942231678.350525</v>
      </c>
      <c r="O123" s="179">
        <v>97085082807.375092</v>
      </c>
      <c r="P123" s="179">
        <v>113395315985.13013</v>
      </c>
      <c r="Q123" s="179">
        <v>124672365792.75905</v>
      </c>
      <c r="R123" s="179">
        <v>145260039840.63745</v>
      </c>
      <c r="S123" s="179">
        <v>175492055795.41681</v>
      </c>
      <c r="T123" s="179">
        <v>199564489431.37839</v>
      </c>
      <c r="U123" s="179">
        <v>227695851126.92764</v>
      </c>
      <c r="V123" s="179">
        <v>224717278436.84576</v>
      </c>
      <c r="W123" s="179">
        <v>257596313364.0553</v>
      </c>
      <c r="X123" s="179">
        <v>315058323066.39288</v>
      </c>
      <c r="Y123" s="179">
        <v>393677161500.81567</v>
      </c>
      <c r="Z123" s="179">
        <v>477256775943.92944</v>
      </c>
      <c r="AA123" s="179">
        <v>430702851303.01483</v>
      </c>
      <c r="AB123" s="179">
        <v>427272645669.29132</v>
      </c>
      <c r="AC123" s="179">
        <v>443042373788.88324</v>
      </c>
      <c r="AD123" s="179">
        <v>437887689001.54291</v>
      </c>
      <c r="AE123" s="179">
        <v>452217492140.75653</v>
      </c>
      <c r="AF123" s="179">
        <v>640386352773.0874</v>
      </c>
      <c r="AG123" s="179">
        <v>805713128174.48462</v>
      </c>
      <c r="AH123" s="179">
        <v>891608957155.6084</v>
      </c>
      <c r="AI123" s="179">
        <v>928661332204.34656</v>
      </c>
      <c r="AJ123" s="179">
        <v>1181222653522.9475</v>
      </c>
      <c r="AK123" s="179">
        <v>1246220156079.2881</v>
      </c>
      <c r="AL123" s="179">
        <v>1320161644933.2288</v>
      </c>
      <c r="AM123" s="179">
        <v>1064958075550.6337</v>
      </c>
      <c r="AN123" s="179">
        <v>1099216688280.4995</v>
      </c>
      <c r="AO123" s="179">
        <v>1174662070605.0159</v>
      </c>
      <c r="AP123" s="179">
        <v>1312426527795.2063</v>
      </c>
      <c r="AQ123" s="179">
        <v>1241879604365.6206</v>
      </c>
      <c r="AR123" s="179">
        <v>1270052525928.4041</v>
      </c>
      <c r="AS123" s="179">
        <v>1252446659833.7866</v>
      </c>
      <c r="AT123" s="179">
        <v>1146676894209.728</v>
      </c>
      <c r="AU123" s="179">
        <v>1168023426056.3794</v>
      </c>
      <c r="AV123" s="179">
        <v>1276769338449.2964</v>
      </c>
      <c r="AW123" s="179">
        <v>1577621707050.5066</v>
      </c>
      <c r="AX123" s="179">
        <v>1806542968545.5645</v>
      </c>
      <c r="AY123" s="179">
        <v>1858217147203.7346</v>
      </c>
      <c r="AZ123" s="179">
        <v>1949551719389.6443</v>
      </c>
      <c r="BA123" s="179">
        <v>2213102482751.458</v>
      </c>
      <c r="BB123" s="179">
        <v>2408655348718.5933</v>
      </c>
      <c r="BC123" s="179">
        <v>2199928804118.6313</v>
      </c>
      <c r="BD123" s="179">
        <v>2136099955236.7217</v>
      </c>
      <c r="BE123" s="179">
        <v>2294994296589.5146</v>
      </c>
      <c r="BF123" s="179">
        <v>2086957656821.6021</v>
      </c>
      <c r="BG123" s="179">
        <v>2141924094298.572</v>
      </c>
      <c r="BH123" s="179">
        <v>2162009615996.5071</v>
      </c>
      <c r="BI123" s="179">
        <v>1836637711060.5459</v>
      </c>
      <c r="BJ123" s="179">
        <v>1877071687633.8308</v>
      </c>
      <c r="BK123" s="179">
        <v>1961796197354.374</v>
      </c>
      <c r="BL123" s="179">
        <v>2091932426266.9417</v>
      </c>
      <c r="BM123" s="179">
        <v>2011302198827.4119</v>
      </c>
      <c r="BN123" s="179">
        <v>1897210466667.5215</v>
      </c>
      <c r="BO123" s="179">
        <v>2114355756913.9194</v>
      </c>
      <c r="BP123" s="179">
        <v>2010431598465.3774</v>
      </c>
    </row>
    <row r="124" spans="1:68">
      <c r="A124" s="179" t="s">
        <v>710</v>
      </c>
      <c r="B124" s="179">
        <f t="shared" si="1"/>
        <v>0</v>
      </c>
      <c r="C124" s="179" t="s">
        <v>711</v>
      </c>
      <c r="D124" s="179" t="s">
        <v>494</v>
      </c>
      <c r="E124" s="179" t="s">
        <v>495</v>
      </c>
      <c r="F124" s="179">
        <v>699064380.79368591</v>
      </c>
      <c r="G124" s="179">
        <v>748043501.23142517</v>
      </c>
      <c r="H124" s="179">
        <v>777727689.3755604</v>
      </c>
      <c r="I124" s="179">
        <v>826706669.81335557</v>
      </c>
      <c r="J124" s="179">
        <v>897949001.35916829</v>
      </c>
      <c r="K124" s="179">
        <v>972159611.71945047</v>
      </c>
      <c r="L124" s="179">
        <v>1096759561.9542303</v>
      </c>
      <c r="M124" s="179">
        <v>1148014311.5457561</v>
      </c>
      <c r="N124" s="179">
        <v>1083839133.1454604</v>
      </c>
      <c r="O124" s="179">
        <v>1191239404.6185446</v>
      </c>
      <c r="P124" s="179">
        <v>1404720442.1691215</v>
      </c>
      <c r="Q124" s="179">
        <v>1539862278.3269949</v>
      </c>
      <c r="R124" s="179">
        <v>1875146587.4442966</v>
      </c>
      <c r="S124" s="179">
        <v>1905917553.1914895</v>
      </c>
      <c r="T124" s="179">
        <v>2375122375.122375</v>
      </c>
      <c r="U124" s="179">
        <v>2860442750.4427505</v>
      </c>
      <c r="V124" s="179">
        <v>2966042856.0428562</v>
      </c>
      <c r="W124" s="179">
        <v>3249733139.73314</v>
      </c>
      <c r="X124" s="179">
        <v>2644527198.2554317</v>
      </c>
      <c r="Y124" s="179">
        <v>2425063771.9090505</v>
      </c>
      <c r="Z124" s="179">
        <v>2679379373.0166831</v>
      </c>
      <c r="AA124" s="179">
        <v>2979027968.1260052</v>
      </c>
      <c r="AB124" s="179">
        <v>3293496313.7797356</v>
      </c>
      <c r="AC124" s="179">
        <v>3619261342.7935834</v>
      </c>
      <c r="AD124" s="179">
        <v>2373564449.3105183</v>
      </c>
      <c r="AE124" s="179">
        <v>2100238892.9413712</v>
      </c>
      <c r="AF124" s="179">
        <v>2754549414.3480473</v>
      </c>
      <c r="AG124" s="179">
        <v>3287007521.2636676</v>
      </c>
      <c r="AH124" s="179">
        <v>3828342704.0970845</v>
      </c>
      <c r="AI124" s="179">
        <v>4404938108.9914198</v>
      </c>
      <c r="AJ124" s="179">
        <v>4592208086.6923485</v>
      </c>
      <c r="AK124" s="179">
        <v>4106207649.0554743</v>
      </c>
      <c r="AL124" s="179">
        <v>3535460089.807189</v>
      </c>
      <c r="AM124" s="179">
        <v>5440075675.740674</v>
      </c>
      <c r="AN124" s="179">
        <v>5452558892.0971498</v>
      </c>
      <c r="AO124" s="179">
        <v>6577520705.2126846</v>
      </c>
      <c r="AP124" s="179">
        <v>7393891854.4064999</v>
      </c>
      <c r="AQ124" s="179">
        <v>8400041802.6350641</v>
      </c>
      <c r="AR124" s="179">
        <v>8787195622.4350204</v>
      </c>
      <c r="AS124" s="179">
        <v>8887058073.2353706</v>
      </c>
      <c r="AT124" s="179">
        <v>9005064474.9300346</v>
      </c>
      <c r="AU124" s="179">
        <v>9194727831.073185</v>
      </c>
      <c r="AV124" s="179">
        <v>9719009561.7610741</v>
      </c>
      <c r="AW124" s="179">
        <v>9430234851.6158371</v>
      </c>
      <c r="AX124" s="179">
        <v>10174664853.947565</v>
      </c>
      <c r="AY124" s="179">
        <v>11243865787.807919</v>
      </c>
      <c r="AZ124" s="179">
        <v>11930179173.416782</v>
      </c>
      <c r="BA124" s="179">
        <v>12799600075.040655</v>
      </c>
      <c r="BB124" s="179">
        <v>13709401443.501633</v>
      </c>
      <c r="BC124" s="179">
        <v>12120458140.942377</v>
      </c>
      <c r="BD124" s="179">
        <v>13220549858.201405</v>
      </c>
      <c r="BE124" s="179">
        <v>14444661488.129597</v>
      </c>
      <c r="BF124" s="179">
        <v>14807086490.853287</v>
      </c>
      <c r="BG124" s="179">
        <v>14264205123.688646</v>
      </c>
      <c r="BH124" s="179">
        <v>13899225339.691719</v>
      </c>
      <c r="BI124" s="179">
        <v>14188938780.503866</v>
      </c>
      <c r="BJ124" s="179">
        <v>14077105502.917534</v>
      </c>
      <c r="BK124" s="179">
        <v>14808984880.579573</v>
      </c>
      <c r="BL124" s="179">
        <v>15730791525.650032</v>
      </c>
      <c r="BM124" s="179">
        <v>15830766372.265081</v>
      </c>
      <c r="BN124" s="179">
        <v>13812421859.402554</v>
      </c>
      <c r="BO124" s="179">
        <v>14657586359.380247</v>
      </c>
      <c r="BP124" s="179">
        <v>17097760745.2096</v>
      </c>
    </row>
    <row r="125" spans="1:68">
      <c r="A125" s="179" t="s">
        <v>80</v>
      </c>
      <c r="B125" s="179">
        <f t="shared" si="1"/>
        <v>0</v>
      </c>
      <c r="C125" s="179" t="s">
        <v>714</v>
      </c>
      <c r="D125" s="179" t="s">
        <v>494</v>
      </c>
      <c r="E125" s="179" t="s">
        <v>495</v>
      </c>
      <c r="F125" s="179">
        <v>44307342906.215729</v>
      </c>
      <c r="G125" s="179">
        <v>53508617686.017792</v>
      </c>
      <c r="H125" s="179">
        <v>60723018623.178986</v>
      </c>
      <c r="I125" s="179">
        <v>69498131728.028244</v>
      </c>
      <c r="J125" s="179">
        <v>81749006299.989182</v>
      </c>
      <c r="K125" s="179">
        <v>90950278167.080139</v>
      </c>
      <c r="L125" s="179">
        <v>105628070237.77644</v>
      </c>
      <c r="M125" s="179">
        <v>123781880094.16196</v>
      </c>
      <c r="N125" s="179">
        <v>146601072539.31726</v>
      </c>
      <c r="O125" s="179">
        <v>172204199309.16302</v>
      </c>
      <c r="P125" s="179">
        <v>212609187707.42584</v>
      </c>
      <c r="Q125" s="179">
        <v>240151811888.73666</v>
      </c>
      <c r="R125" s="179">
        <v>318031297493.4007</v>
      </c>
      <c r="S125" s="179">
        <v>432082723461.09595</v>
      </c>
      <c r="T125" s="179">
        <v>479625998614.63702</v>
      </c>
      <c r="U125" s="179">
        <v>521541905674.7149</v>
      </c>
      <c r="V125" s="179">
        <v>586161859001.31763</v>
      </c>
      <c r="W125" s="179">
        <v>721411786538.60632</v>
      </c>
      <c r="X125" s="179">
        <v>1013612334075.2025</v>
      </c>
      <c r="Y125" s="179">
        <v>1055012119529.5413</v>
      </c>
      <c r="Z125" s="179">
        <v>1105385811262.7253</v>
      </c>
      <c r="AA125" s="179">
        <v>1218988750886.4897</v>
      </c>
      <c r="AB125" s="179">
        <v>1134518153718.1824</v>
      </c>
      <c r="AC125" s="179">
        <v>1243323766554.874</v>
      </c>
      <c r="AD125" s="179">
        <v>1318381627007.4597</v>
      </c>
      <c r="AE125" s="179">
        <v>1398892549340.8721</v>
      </c>
      <c r="AF125" s="179">
        <v>2078952922458.3086</v>
      </c>
      <c r="AG125" s="179">
        <v>2532808573157.0308</v>
      </c>
      <c r="AH125" s="179">
        <v>3071683812149.6582</v>
      </c>
      <c r="AI125" s="179">
        <v>3054913797217.0283</v>
      </c>
      <c r="AJ125" s="179">
        <v>3132817652848.0415</v>
      </c>
      <c r="AK125" s="179">
        <v>3584420964070.0698</v>
      </c>
      <c r="AL125" s="179">
        <v>3908808434705.2642</v>
      </c>
      <c r="AM125" s="179">
        <v>4454144444407.9033</v>
      </c>
      <c r="AN125" s="179">
        <v>4998797262443.2871</v>
      </c>
      <c r="AO125" s="179">
        <v>5545564892181.1465</v>
      </c>
      <c r="AP125" s="179">
        <v>4923393495138.7705</v>
      </c>
      <c r="AQ125" s="179">
        <v>4492449998031.876</v>
      </c>
      <c r="AR125" s="179">
        <v>4098362688659.3354</v>
      </c>
      <c r="AS125" s="179">
        <v>4635982020564.9697</v>
      </c>
      <c r="AT125" s="179">
        <v>4968359152795.6562</v>
      </c>
      <c r="AU125" s="179">
        <v>4374709984220.0146</v>
      </c>
      <c r="AV125" s="179">
        <v>4182845406488.6196</v>
      </c>
      <c r="AW125" s="179">
        <v>4519563042183.7305</v>
      </c>
      <c r="AX125" s="179">
        <v>4893116005656.5586</v>
      </c>
      <c r="AY125" s="179">
        <v>4831466523975.9766</v>
      </c>
      <c r="AZ125" s="179">
        <v>4601662661030.0674</v>
      </c>
      <c r="BA125" s="179">
        <v>4579749785984.8164</v>
      </c>
      <c r="BB125" s="179">
        <v>5106679413137.5742</v>
      </c>
      <c r="BC125" s="179">
        <v>5289493734900.3945</v>
      </c>
      <c r="BD125" s="179">
        <v>5759071769013.1133</v>
      </c>
      <c r="BE125" s="179">
        <v>6233147172341.3486</v>
      </c>
      <c r="BF125" s="179">
        <v>6272362996105.0342</v>
      </c>
      <c r="BG125" s="179">
        <v>5212328181166.1846</v>
      </c>
      <c r="BH125" s="179">
        <v>4896994405353.292</v>
      </c>
      <c r="BI125" s="179">
        <v>4444930651964.1797</v>
      </c>
      <c r="BJ125" s="179">
        <v>5003677627544.2402</v>
      </c>
      <c r="BK125" s="179">
        <v>4930837369151.4219</v>
      </c>
      <c r="BL125" s="179">
        <v>5040880939324.8594</v>
      </c>
      <c r="BM125" s="179">
        <v>5117993853016.5078</v>
      </c>
      <c r="BN125" s="179">
        <v>5048789595589.4336</v>
      </c>
      <c r="BO125" s="179">
        <v>5005536736792.2939</v>
      </c>
      <c r="BP125" s="179">
        <v>4231141201863.1738</v>
      </c>
    </row>
    <row r="126" spans="1:68">
      <c r="A126" s="179" t="s">
        <v>712</v>
      </c>
      <c r="B126" s="179">
        <f t="shared" si="1"/>
        <v>1</v>
      </c>
      <c r="C126" s="179" t="s">
        <v>713</v>
      </c>
      <c r="D126" s="179" t="s">
        <v>494</v>
      </c>
      <c r="E126" s="179" t="s">
        <v>495</v>
      </c>
      <c r="K126" s="179">
        <v>599759761.17566288</v>
      </c>
      <c r="L126" s="179">
        <v>657999737.9845041</v>
      </c>
      <c r="M126" s="179">
        <v>631679748.46512389</v>
      </c>
      <c r="N126" s="179">
        <v>561119776.5621047</v>
      </c>
      <c r="O126" s="179">
        <v>698879721.7060945</v>
      </c>
      <c r="P126" s="179">
        <v>639519745.34323716</v>
      </c>
      <c r="Q126" s="179">
        <v>678159730.01330864</v>
      </c>
      <c r="R126" s="179">
        <v>788479129.8268472</v>
      </c>
      <c r="S126" s="179">
        <v>943784219.01109922</v>
      </c>
      <c r="T126" s="179">
        <v>1197485191.6819272</v>
      </c>
      <c r="U126" s="179">
        <v>1363074922.8291578</v>
      </c>
      <c r="V126" s="179">
        <v>1708519509.1375675</v>
      </c>
      <c r="W126" s="179">
        <v>2096780731.2111156</v>
      </c>
      <c r="X126" s="179">
        <v>2602208597.4714389</v>
      </c>
      <c r="Y126" s="179">
        <v>3271365160.7259698</v>
      </c>
      <c r="Z126" s="179">
        <v>3910044487.4046969</v>
      </c>
      <c r="AA126" s="179">
        <v>4383940293.707077</v>
      </c>
      <c r="AB126" s="179">
        <v>4681245432.7939024</v>
      </c>
      <c r="AC126" s="179">
        <v>4920689945.7299852</v>
      </c>
      <c r="AD126" s="179">
        <v>4967162167.9411898</v>
      </c>
      <c r="AE126" s="179">
        <v>4993601523.5942993</v>
      </c>
      <c r="AF126" s="179">
        <v>6402053536.8462353</v>
      </c>
      <c r="AG126" s="179">
        <v>6756214752.9056349</v>
      </c>
      <c r="AH126" s="179">
        <v>6277443443.2963533</v>
      </c>
      <c r="AI126" s="179">
        <v>4221374898.2945418</v>
      </c>
      <c r="AJ126" s="179">
        <v>4160089597.1393175</v>
      </c>
      <c r="AK126" s="179">
        <v>4344468256.7172461</v>
      </c>
      <c r="AL126" s="179">
        <v>5310830589.5447588</v>
      </c>
      <c r="AM126" s="179">
        <v>5606401570.3235817</v>
      </c>
      <c r="AN126" s="179">
        <v>6236295978.2453127</v>
      </c>
      <c r="AO126" s="179">
        <v>6727597031.9634705</v>
      </c>
      <c r="AP126" s="179">
        <v>6927503526.0930891</v>
      </c>
      <c r="AQ126" s="179">
        <v>7245839210.1551485</v>
      </c>
      <c r="AR126" s="179">
        <v>7912270803.9492245</v>
      </c>
      <c r="AS126" s="179">
        <v>8149929478.1382236</v>
      </c>
      <c r="AT126" s="179">
        <v>8460789844.8519049</v>
      </c>
      <c r="AU126" s="179">
        <v>8975812449.1140747</v>
      </c>
      <c r="AV126" s="179">
        <v>9582512830.8680878</v>
      </c>
      <c r="AW126" s="179">
        <v>10195627644.569817</v>
      </c>
      <c r="AX126" s="179">
        <v>11411706629.055008</v>
      </c>
      <c r="AY126" s="179">
        <v>12588998589.562765</v>
      </c>
      <c r="AZ126" s="179">
        <v>15056981664.315939</v>
      </c>
      <c r="BA126" s="179">
        <v>17110442866.62435</v>
      </c>
      <c r="BB126" s="179">
        <v>22658730357.236084</v>
      </c>
      <c r="BC126" s="179">
        <v>24537876056.338028</v>
      </c>
      <c r="BD126" s="179">
        <v>27133804225.352116</v>
      </c>
      <c r="BE126" s="179">
        <v>29524149154.929581</v>
      </c>
      <c r="BF126" s="179">
        <v>31634561690.140846</v>
      </c>
      <c r="BG126" s="179">
        <v>34454440140.84507</v>
      </c>
      <c r="BH126" s="179">
        <v>36847643521.126762</v>
      </c>
      <c r="BI126" s="179">
        <v>38587017887.323944</v>
      </c>
      <c r="BJ126" s="179">
        <v>39892551126.760567</v>
      </c>
      <c r="BK126" s="179">
        <v>41608435915.492958</v>
      </c>
      <c r="BL126" s="179">
        <v>43370860704.225357</v>
      </c>
      <c r="BM126" s="179">
        <v>44503005774.647888</v>
      </c>
      <c r="BN126" s="179">
        <v>43579916197.183098</v>
      </c>
      <c r="BO126" s="179">
        <v>45116317042.253525</v>
      </c>
      <c r="BP126" s="179">
        <v>47451499859.15493</v>
      </c>
    </row>
    <row r="127" spans="1:68">
      <c r="A127" s="179" t="s">
        <v>715</v>
      </c>
      <c r="B127" s="179">
        <f t="shared" si="1"/>
        <v>1</v>
      </c>
      <c r="C127" s="179" t="s">
        <v>716</v>
      </c>
      <c r="D127" s="179" t="s">
        <v>494</v>
      </c>
      <c r="E127" s="179" t="s">
        <v>495</v>
      </c>
      <c r="AJ127" s="179">
        <v>26932729102.737148</v>
      </c>
      <c r="AK127" s="179">
        <v>24923076923.076923</v>
      </c>
      <c r="AL127" s="179">
        <v>24917355371.900826</v>
      </c>
      <c r="AM127" s="179">
        <v>23409260879.942719</v>
      </c>
      <c r="AN127" s="179">
        <v>21250792886.105423</v>
      </c>
      <c r="AO127" s="179">
        <v>20374302652.381878</v>
      </c>
      <c r="AP127" s="179">
        <v>21035357832.697746</v>
      </c>
      <c r="AQ127" s="179">
        <v>22165932062.96603</v>
      </c>
      <c r="AR127" s="179">
        <v>22135245413.136955</v>
      </c>
      <c r="AS127" s="179">
        <v>16870817134.729668</v>
      </c>
      <c r="AT127" s="179">
        <v>18291990619.137001</v>
      </c>
      <c r="AU127" s="179">
        <v>22152689129.55827</v>
      </c>
      <c r="AV127" s="179">
        <v>24636598581.020412</v>
      </c>
      <c r="AW127" s="179">
        <v>30833692831.395512</v>
      </c>
      <c r="AX127" s="179">
        <v>43151647002.609627</v>
      </c>
      <c r="AY127" s="179">
        <v>57123671733.895248</v>
      </c>
      <c r="AZ127" s="179">
        <v>81003864915.543015</v>
      </c>
      <c r="BA127" s="179">
        <v>104849915343.55528</v>
      </c>
      <c r="BB127" s="179">
        <v>133441649221.73155</v>
      </c>
      <c r="BC127" s="179">
        <v>115308687201.9704</v>
      </c>
      <c r="BD127" s="179">
        <v>148047348240.64334</v>
      </c>
      <c r="BE127" s="179">
        <v>192626464179.14734</v>
      </c>
      <c r="BF127" s="179">
        <v>207998568865.78925</v>
      </c>
      <c r="BG127" s="179">
        <v>236634603927.58295</v>
      </c>
      <c r="BH127" s="179">
        <v>221415614007.34738</v>
      </c>
      <c r="BI127" s="179">
        <v>184388404428.84338</v>
      </c>
      <c r="BJ127" s="179">
        <v>137278320084.17114</v>
      </c>
      <c r="BK127" s="179">
        <v>166805788966.78015</v>
      </c>
      <c r="BL127" s="179">
        <v>179339977517.06183</v>
      </c>
      <c r="BM127" s="179">
        <v>181667185041.47974</v>
      </c>
      <c r="BN127" s="179">
        <v>171082365723.32642</v>
      </c>
      <c r="BO127" s="179">
        <v>197112255360.61234</v>
      </c>
      <c r="BP127" s="179">
        <v>220623001966.68585</v>
      </c>
    </row>
    <row r="128" spans="1:68">
      <c r="A128" s="179" t="s">
        <v>717</v>
      </c>
      <c r="B128" s="179">
        <f t="shared" si="1"/>
        <v>1</v>
      </c>
      <c r="C128" s="179" t="s">
        <v>718</v>
      </c>
      <c r="D128" s="179" t="s">
        <v>494</v>
      </c>
      <c r="E128" s="179" t="s">
        <v>495</v>
      </c>
      <c r="F128" s="179">
        <v>791265458.81332779</v>
      </c>
      <c r="G128" s="179">
        <v>792959472.13426566</v>
      </c>
      <c r="H128" s="179">
        <v>868111400.00886381</v>
      </c>
      <c r="I128" s="179">
        <v>926589348.5673933</v>
      </c>
      <c r="J128" s="179">
        <v>998759333.63733304</v>
      </c>
      <c r="K128" s="179">
        <v>997919319.97406101</v>
      </c>
      <c r="L128" s="179">
        <v>1164519673.1906433</v>
      </c>
      <c r="M128" s="179">
        <v>1232559505.9161959</v>
      </c>
      <c r="N128" s="179">
        <v>1353295457.5179822</v>
      </c>
      <c r="O128" s="179">
        <v>1458379415.394027</v>
      </c>
      <c r="P128" s="179">
        <v>1603447357.2420917</v>
      </c>
      <c r="Q128" s="179">
        <v>1778391289.2005405</v>
      </c>
      <c r="R128" s="179">
        <v>2107279157.3833563</v>
      </c>
      <c r="S128" s="179">
        <v>2509001444.1601958</v>
      </c>
      <c r="T128" s="179">
        <v>2969958812.4322696</v>
      </c>
      <c r="U128" s="179">
        <v>3259344935.7535672</v>
      </c>
      <c r="V128" s="179">
        <v>3474542392.0459652</v>
      </c>
      <c r="W128" s="179">
        <v>4494378855.322032</v>
      </c>
      <c r="X128" s="179">
        <v>5303734882.5115957</v>
      </c>
      <c r="Y128" s="179">
        <v>6234390975.298708</v>
      </c>
      <c r="Z128" s="179">
        <v>7265315331.6227274</v>
      </c>
      <c r="AA128" s="179">
        <v>6854491453.9147072</v>
      </c>
      <c r="AB128" s="179">
        <v>6431579357.3027296</v>
      </c>
      <c r="AC128" s="179">
        <v>5979198463.8227444</v>
      </c>
      <c r="AD128" s="179">
        <v>6191437070.4346657</v>
      </c>
      <c r="AE128" s="179">
        <v>6135034338.304307</v>
      </c>
      <c r="AF128" s="179">
        <v>7239126716.9321909</v>
      </c>
      <c r="AG128" s="179">
        <v>7970820530.7669106</v>
      </c>
      <c r="AH128" s="179">
        <v>8355380879.1295481</v>
      </c>
      <c r="AI128" s="179">
        <v>8283114648.3811569</v>
      </c>
      <c r="AJ128" s="179">
        <v>8572359162.868763</v>
      </c>
      <c r="AK128" s="179">
        <v>8151488881.9682999</v>
      </c>
      <c r="AL128" s="179">
        <v>8209120678.1134176</v>
      </c>
      <c r="AM128" s="179">
        <v>5751786609.503233</v>
      </c>
      <c r="AN128" s="179">
        <v>7148148564.0423851</v>
      </c>
      <c r="AO128" s="179">
        <v>9046320196.7729549</v>
      </c>
      <c r="AP128" s="179">
        <v>12045865466.434301</v>
      </c>
      <c r="AQ128" s="179">
        <v>13115764432.72324</v>
      </c>
      <c r="AR128" s="179">
        <v>14093998843.733383</v>
      </c>
      <c r="AS128" s="179">
        <v>12896010520.495789</v>
      </c>
      <c r="AT128" s="179">
        <v>12705350153.401157</v>
      </c>
      <c r="AU128" s="179">
        <v>12986007425.878052</v>
      </c>
      <c r="AV128" s="179">
        <v>13147736954.169971</v>
      </c>
      <c r="AW128" s="179">
        <v>14904517649.847567</v>
      </c>
      <c r="AX128" s="179">
        <v>16095337093.836597</v>
      </c>
      <c r="AY128" s="179">
        <v>18737895400.780006</v>
      </c>
      <c r="AZ128" s="179">
        <v>25825512277.891125</v>
      </c>
      <c r="BA128" s="179">
        <v>31958195182.240604</v>
      </c>
      <c r="BB128" s="179">
        <v>35895153327.849686</v>
      </c>
      <c r="BC128" s="179">
        <v>42347217912.917572</v>
      </c>
      <c r="BD128" s="179">
        <v>45405615233.069275</v>
      </c>
      <c r="BE128" s="179">
        <v>46869473165.890549</v>
      </c>
      <c r="BF128" s="179">
        <v>56396704833.467644</v>
      </c>
      <c r="BG128" s="179">
        <v>61671440480.689453</v>
      </c>
      <c r="BH128" s="179">
        <v>68285796662.653244</v>
      </c>
      <c r="BI128" s="179">
        <v>70120446663.62561</v>
      </c>
      <c r="BJ128" s="179">
        <v>74815143796.397751</v>
      </c>
      <c r="BK128" s="179">
        <v>82036511258.832397</v>
      </c>
      <c r="BL128" s="179">
        <v>92202979940.670959</v>
      </c>
      <c r="BM128" s="179">
        <v>100378435824.17841</v>
      </c>
      <c r="BN128" s="179">
        <v>100657505600.65482</v>
      </c>
      <c r="BO128" s="179">
        <v>109703659312.8718</v>
      </c>
      <c r="BP128" s="179">
        <v>113420008178.79318</v>
      </c>
    </row>
    <row r="129" spans="1:68">
      <c r="A129" s="179" t="s">
        <v>722</v>
      </c>
      <c r="B129" s="179">
        <f t="shared" si="1"/>
        <v>0</v>
      </c>
      <c r="C129" s="179" t="s">
        <v>723</v>
      </c>
      <c r="D129" s="179" t="s">
        <v>494</v>
      </c>
      <c r="E129" s="179" t="s">
        <v>495</v>
      </c>
      <c r="P129" s="179">
        <v>14295279.544693673</v>
      </c>
      <c r="Q129" s="179">
        <v>15278632.47863248</v>
      </c>
      <c r="R129" s="179">
        <v>18936526.946107786</v>
      </c>
      <c r="S129" s="179">
        <v>31710657.725781139</v>
      </c>
      <c r="T129" s="179">
        <v>85637174.372213095</v>
      </c>
      <c r="U129" s="179">
        <v>55083890.191028774</v>
      </c>
      <c r="V129" s="179">
        <v>41110417.184305608</v>
      </c>
      <c r="W129" s="179">
        <v>38746985.322814278</v>
      </c>
      <c r="X129" s="179">
        <v>45212135.103259236</v>
      </c>
      <c r="Y129" s="179">
        <v>42618216.238844655</v>
      </c>
      <c r="Z129" s="179">
        <v>42129506.149726957</v>
      </c>
      <c r="AA129" s="179">
        <v>43667390.516611934</v>
      </c>
      <c r="AB129" s="179">
        <v>40573595.725612544</v>
      </c>
      <c r="AC129" s="179">
        <v>37837326.551020466</v>
      </c>
      <c r="AD129" s="179">
        <v>42123029.98992306</v>
      </c>
      <c r="AE129" s="179">
        <v>32125260.592475444</v>
      </c>
      <c r="AF129" s="179">
        <v>31417654.83329156</v>
      </c>
      <c r="AG129" s="179">
        <v>35709784.480947778</v>
      </c>
      <c r="AH129" s="179">
        <v>44534439.315315664</v>
      </c>
      <c r="AI129" s="179">
        <v>44282893.887115411</v>
      </c>
      <c r="AJ129" s="179">
        <v>42933307.660082579</v>
      </c>
      <c r="AK129" s="179">
        <v>47516824.006642088</v>
      </c>
      <c r="AL129" s="179">
        <v>47736260.830929294</v>
      </c>
      <c r="AM129" s="179">
        <v>46920900.881296918</v>
      </c>
      <c r="AN129" s="179">
        <v>54834548.934046969</v>
      </c>
      <c r="AO129" s="179">
        <v>56336670.910448782</v>
      </c>
      <c r="AP129" s="179">
        <v>66517285.364371426</v>
      </c>
      <c r="AQ129" s="179">
        <v>67538482.091169521</v>
      </c>
      <c r="AR129" s="179">
        <v>65333678.149968147</v>
      </c>
      <c r="AS129" s="179">
        <v>69034484.983386561</v>
      </c>
      <c r="AT129" s="179">
        <v>67253134.614492536</v>
      </c>
      <c r="AU129" s="179">
        <v>63099885.30820027</v>
      </c>
      <c r="AV129" s="179">
        <v>72197928.622364089</v>
      </c>
      <c r="AW129" s="179">
        <v>90231027.775540709</v>
      </c>
      <c r="AX129" s="179">
        <v>102370615.24064122</v>
      </c>
      <c r="AY129" s="179">
        <v>112136227.79641718</v>
      </c>
      <c r="AZ129" s="179">
        <v>110237144.4604204</v>
      </c>
      <c r="BA129" s="179">
        <v>132674795.88058466</v>
      </c>
      <c r="BB129" s="179">
        <v>141045173.61077172</v>
      </c>
      <c r="BC129" s="179">
        <v>132421058.94591902</v>
      </c>
      <c r="BD129" s="179">
        <v>155305532.9189994</v>
      </c>
      <c r="BE129" s="179">
        <v>180672664.75878701</v>
      </c>
      <c r="BF129" s="179">
        <v>189629948.80538616</v>
      </c>
      <c r="BG129" s="179">
        <v>184543103.72112373</v>
      </c>
      <c r="BH129" s="179">
        <v>177868153.09073338</v>
      </c>
      <c r="BI129" s="179">
        <v>170292283.24601296</v>
      </c>
      <c r="BJ129" s="179">
        <v>178507958.05032915</v>
      </c>
      <c r="BK129" s="179">
        <v>188540699.14568588</v>
      </c>
      <c r="BL129" s="179">
        <v>196501504.18518624</v>
      </c>
      <c r="BM129" s="179">
        <v>175181684.79221228</v>
      </c>
      <c r="BN129" s="179">
        <v>177553260.10882837</v>
      </c>
      <c r="BO129" s="179">
        <v>227610034.76430634</v>
      </c>
      <c r="BP129" s="179">
        <v>223352943.18840399</v>
      </c>
    </row>
    <row r="130" spans="1:68">
      <c r="A130" s="179" t="s">
        <v>856</v>
      </c>
      <c r="B130" s="179">
        <f t="shared" si="1"/>
        <v>0</v>
      </c>
      <c r="C130" s="179" t="s">
        <v>857</v>
      </c>
      <c r="D130" s="179" t="s">
        <v>494</v>
      </c>
      <c r="E130" s="179" t="s">
        <v>495</v>
      </c>
    </row>
    <row r="131" spans="1:68">
      <c r="A131" s="179" t="s">
        <v>726</v>
      </c>
      <c r="B131" s="179">
        <f t="shared" si="1"/>
        <v>0</v>
      </c>
      <c r="C131" s="179" t="s">
        <v>727</v>
      </c>
      <c r="D131" s="179" t="s">
        <v>494</v>
      </c>
      <c r="E131" s="179" t="s">
        <v>495</v>
      </c>
      <c r="F131" s="179">
        <v>3958824423.9981751</v>
      </c>
      <c r="G131" s="179">
        <v>2417638423.2221503</v>
      </c>
      <c r="H131" s="179">
        <v>2814626210.1008077</v>
      </c>
      <c r="I131" s="179">
        <v>3988476878.7572255</v>
      </c>
      <c r="J131" s="179">
        <v>3459032883.0246453</v>
      </c>
      <c r="K131" s="179">
        <v>3120870870.8708711</v>
      </c>
      <c r="L131" s="179">
        <v>3929018943.0235133</v>
      </c>
      <c r="M131" s="179">
        <v>4855833210.1138554</v>
      </c>
      <c r="N131" s="179">
        <v>6119284294.2345934</v>
      </c>
      <c r="O131" s="179">
        <v>7678720155.469183</v>
      </c>
      <c r="P131" s="179">
        <v>9005023183.9258118</v>
      </c>
      <c r="Q131" s="179">
        <v>9903499927.9850216</v>
      </c>
      <c r="R131" s="179">
        <v>10862327878.032019</v>
      </c>
      <c r="S131" s="179">
        <v>13876531432.014462</v>
      </c>
      <c r="T131" s="179">
        <v>19544094741.266346</v>
      </c>
      <c r="U131" s="179">
        <v>21784297520.661156</v>
      </c>
      <c r="V131" s="179">
        <v>29902479338.842976</v>
      </c>
      <c r="W131" s="179">
        <v>38446487603.305786</v>
      </c>
      <c r="X131" s="179">
        <v>51972107438.016525</v>
      </c>
      <c r="Y131" s="179">
        <v>66946900826.446281</v>
      </c>
      <c r="Z131" s="179">
        <v>65398646757.651093</v>
      </c>
      <c r="AA131" s="179">
        <v>72933350953.702484</v>
      </c>
      <c r="AB131" s="179">
        <v>78358866334.73764</v>
      </c>
      <c r="AC131" s="179">
        <v>87760360941.024811</v>
      </c>
      <c r="AD131" s="179">
        <v>97510235986.004608</v>
      </c>
      <c r="AE131" s="179">
        <v>101296177099.55167</v>
      </c>
      <c r="AF131" s="179">
        <v>116836802995.06494</v>
      </c>
      <c r="AG131" s="179">
        <v>147948259722.57678</v>
      </c>
      <c r="AH131" s="179">
        <v>199590823957.23679</v>
      </c>
      <c r="AI131" s="179">
        <v>246927292765.0195</v>
      </c>
      <c r="AJ131" s="179">
        <v>283367525714.93164</v>
      </c>
      <c r="AK131" s="179">
        <v>330648530715.211</v>
      </c>
      <c r="AL131" s="179">
        <v>355525267405.36731</v>
      </c>
      <c r="AM131" s="179">
        <v>392666101884.95898</v>
      </c>
      <c r="AN131" s="179">
        <v>463617399962.66101</v>
      </c>
      <c r="AO131" s="179">
        <v>566583427334.13721</v>
      </c>
      <c r="AP131" s="179">
        <v>610169556840.07703</v>
      </c>
      <c r="AQ131" s="179">
        <v>569754543829.95728</v>
      </c>
      <c r="AR131" s="179">
        <v>383330931042.35645</v>
      </c>
      <c r="AS131" s="179">
        <v>497512659612.05231</v>
      </c>
      <c r="AT131" s="179">
        <v>576178114168.49402</v>
      </c>
      <c r="AU131" s="179">
        <v>547658231279.87048</v>
      </c>
      <c r="AV131" s="179">
        <v>627246081417.00439</v>
      </c>
      <c r="AW131" s="179">
        <v>702717332012.99084</v>
      </c>
      <c r="AX131" s="179">
        <v>793175007858.06592</v>
      </c>
      <c r="AY131" s="179">
        <v>934901101762.49146</v>
      </c>
      <c r="AZ131" s="179">
        <v>1053216892422.0195</v>
      </c>
      <c r="BA131" s="179">
        <v>1172614134912.0508</v>
      </c>
      <c r="BB131" s="179">
        <v>1047339041903.8484</v>
      </c>
      <c r="BC131" s="179">
        <v>943941876218.74329</v>
      </c>
      <c r="BD131" s="179">
        <v>1144066965324.4941</v>
      </c>
      <c r="BE131" s="179">
        <v>1253223044718.9871</v>
      </c>
      <c r="BF131" s="179">
        <v>1278427634342.5857</v>
      </c>
      <c r="BG131" s="179">
        <v>1370795199976.1794</v>
      </c>
      <c r="BH131" s="179">
        <v>1484318219633.6272</v>
      </c>
      <c r="BI131" s="179">
        <v>1465773245547.1497</v>
      </c>
      <c r="BJ131" s="179">
        <v>1500111596236.3718</v>
      </c>
      <c r="BK131" s="179">
        <v>1623901496835.7908</v>
      </c>
      <c r="BL131" s="179">
        <v>1724845615629.2595</v>
      </c>
      <c r="BM131" s="179">
        <v>1651422932447.7681</v>
      </c>
      <c r="BN131" s="179">
        <v>1644312785467.1206</v>
      </c>
      <c r="BO131" s="179">
        <v>1810955871380.9761</v>
      </c>
      <c r="BP131" s="179">
        <v>1665245538594.9565</v>
      </c>
    </row>
    <row r="132" spans="1:68">
      <c r="A132" s="179" t="s">
        <v>984</v>
      </c>
      <c r="B132" s="179">
        <f t="shared" si="1"/>
        <v>1</v>
      </c>
      <c r="C132" s="179" t="s">
        <v>985</v>
      </c>
      <c r="D132" s="179" t="s">
        <v>494</v>
      </c>
      <c r="E132" s="179" t="s">
        <v>495</v>
      </c>
      <c r="BB132" s="179">
        <v>5181776768.7124653</v>
      </c>
      <c r="BC132" s="179">
        <v>5015894692.9702692</v>
      </c>
      <c r="BD132" s="179">
        <v>5343950626.1666765</v>
      </c>
      <c r="BE132" s="179">
        <v>6341614504.5914526</v>
      </c>
      <c r="BF132" s="179">
        <v>6163483291.0804701</v>
      </c>
      <c r="BG132" s="179">
        <v>6735327512.0517836</v>
      </c>
      <c r="BH132" s="179">
        <v>7074392884.0450735</v>
      </c>
      <c r="BI132" s="179">
        <v>6295845465.3589811</v>
      </c>
      <c r="BJ132" s="179">
        <v>6682674062.9614954</v>
      </c>
      <c r="BK132" s="179">
        <v>7180768692.2635422</v>
      </c>
      <c r="BL132" s="179">
        <v>7878762812.2015629</v>
      </c>
      <c r="BM132" s="179">
        <v>7899741278.9357052</v>
      </c>
      <c r="BN132" s="179">
        <v>7717143395.2569933</v>
      </c>
      <c r="BO132" s="179">
        <v>9412034299.2312241</v>
      </c>
      <c r="BP132" s="179">
        <v>9429156201.9585133</v>
      </c>
    </row>
    <row r="133" spans="1:68">
      <c r="A133" s="179" t="s">
        <v>728</v>
      </c>
      <c r="B133" s="179">
        <f t="shared" ref="B133:B196" si="2">COUNTIF($E$273:$E$393,A133)</f>
        <v>1</v>
      </c>
      <c r="C133" s="179" t="s">
        <v>729</v>
      </c>
      <c r="D133" s="179" t="s">
        <v>494</v>
      </c>
      <c r="E133" s="179" t="s">
        <v>495</v>
      </c>
      <c r="K133" s="179">
        <v>2097199164.8952918</v>
      </c>
      <c r="L133" s="179">
        <v>2391199047.8245382</v>
      </c>
      <c r="M133" s="179">
        <v>2441599027.7552662</v>
      </c>
      <c r="N133" s="179">
        <v>2662798939.673461</v>
      </c>
      <c r="O133" s="179">
        <v>2769198897.3049979</v>
      </c>
      <c r="P133" s="179">
        <v>2873638855.7170067</v>
      </c>
      <c r="Q133" s="179">
        <v>3880395313.469759</v>
      </c>
      <c r="R133" s="179">
        <v>4450540660.1460552</v>
      </c>
      <c r="S133" s="179">
        <v>5408798851.9972153</v>
      </c>
      <c r="T133" s="179">
        <v>13006929853.395758</v>
      </c>
      <c r="U133" s="179">
        <v>12022797844.45689</v>
      </c>
      <c r="V133" s="179">
        <v>13132234132.735067</v>
      </c>
      <c r="W133" s="179">
        <v>14137406789.840408</v>
      </c>
      <c r="X133" s="179">
        <v>15503571643.997641</v>
      </c>
      <c r="Y133" s="179">
        <v>24749056549.386272</v>
      </c>
      <c r="Z133" s="179">
        <v>28638824314.718071</v>
      </c>
      <c r="AA133" s="179">
        <v>25057990467.186214</v>
      </c>
      <c r="AB133" s="179">
        <v>21577153431.363003</v>
      </c>
      <c r="AC133" s="179">
        <v>20871105019.971058</v>
      </c>
      <c r="AD133" s="179">
        <v>21700088897.564629</v>
      </c>
      <c r="AE133" s="179">
        <v>21445952792.819878</v>
      </c>
      <c r="AF133" s="179">
        <v>17904010287.497845</v>
      </c>
      <c r="AG133" s="179">
        <v>22368684065.80344</v>
      </c>
      <c r="AH133" s="179">
        <v>20690303615.122787</v>
      </c>
      <c r="AI133" s="179">
        <v>24313821169.114101</v>
      </c>
      <c r="AJ133" s="179">
        <v>18427777777.777779</v>
      </c>
      <c r="AK133" s="179">
        <v>11010010088.219992</v>
      </c>
      <c r="AL133" s="179">
        <v>19858555214.723927</v>
      </c>
      <c r="AM133" s="179">
        <v>23941391390.728477</v>
      </c>
      <c r="AN133" s="179">
        <v>24848483838.383839</v>
      </c>
      <c r="AO133" s="179">
        <v>27187006077.125237</v>
      </c>
      <c r="AP133" s="179">
        <v>31492419238.198399</v>
      </c>
      <c r="AQ133" s="179">
        <v>30350207212.762169</v>
      </c>
      <c r="AR133" s="179">
        <v>25943736430.932011</v>
      </c>
      <c r="AS133" s="179">
        <v>30122398833.170509</v>
      </c>
      <c r="AT133" s="179">
        <v>37718794714.181084</v>
      </c>
      <c r="AU133" s="179">
        <v>34889597791.412338</v>
      </c>
      <c r="AV133" s="179">
        <v>38135756834.174088</v>
      </c>
      <c r="AW133" s="179">
        <v>47874659167.993912</v>
      </c>
      <c r="AX133" s="179">
        <v>59439090600.610786</v>
      </c>
      <c r="AY133" s="179">
        <v>80798630136.986313</v>
      </c>
      <c r="AZ133" s="179">
        <v>101557251976.79445</v>
      </c>
      <c r="BA133" s="179">
        <v>114634060167.40628</v>
      </c>
      <c r="BB133" s="179">
        <v>147379536212.13815</v>
      </c>
      <c r="BC133" s="179">
        <v>105968538479.91473</v>
      </c>
      <c r="BD133" s="179">
        <v>115416745328.98463</v>
      </c>
      <c r="BE133" s="179">
        <v>154079870424.8978</v>
      </c>
      <c r="BF133" s="179">
        <v>174048271288.15112</v>
      </c>
      <c r="BG133" s="179">
        <v>174167626656.76324</v>
      </c>
      <c r="BH133" s="179">
        <v>162650191195.35828</v>
      </c>
      <c r="BI133" s="179">
        <v>114585567439.67403</v>
      </c>
      <c r="BJ133" s="179">
        <v>109406169162.83286</v>
      </c>
      <c r="BK133" s="179">
        <v>120687635952.45996</v>
      </c>
      <c r="BL133" s="179">
        <v>138202309918.72568</v>
      </c>
      <c r="BM133" s="179">
        <v>136191752590.89687</v>
      </c>
      <c r="BN133" s="179">
        <v>105948765156.02919</v>
      </c>
      <c r="BO133" s="179">
        <v>136797422273.86848</v>
      </c>
      <c r="BP133" s="179">
        <v>184558274288.7373</v>
      </c>
    </row>
    <row r="134" spans="1:68">
      <c r="A134" s="222" t="s">
        <v>1323</v>
      </c>
      <c r="B134" s="179">
        <f t="shared" si="2"/>
        <v>1</v>
      </c>
      <c r="C134" s="179" t="s">
        <v>719</v>
      </c>
      <c r="D134" s="179" t="s">
        <v>494</v>
      </c>
      <c r="E134" s="179" t="s">
        <v>495</v>
      </c>
      <c r="AJ134" s="179">
        <v>2675000000</v>
      </c>
      <c r="AK134" s="179">
        <v>2569444444.4444447</v>
      </c>
      <c r="AL134" s="179">
        <v>2316562500</v>
      </c>
      <c r="AM134" s="179">
        <v>2028295454.5454545</v>
      </c>
      <c r="AN134" s="179">
        <v>1681006993.0069928</v>
      </c>
      <c r="AO134" s="179">
        <v>1661018518.5185184</v>
      </c>
      <c r="AP134" s="179">
        <v>1827570586.1678448</v>
      </c>
      <c r="AQ134" s="179">
        <v>1767864035.7194295</v>
      </c>
      <c r="AR134" s="179">
        <v>1645963749.8314617</v>
      </c>
      <c r="AS134" s="179">
        <v>1249061487.0145676</v>
      </c>
      <c r="AT134" s="179">
        <v>1369688498.0677826</v>
      </c>
      <c r="AU134" s="179">
        <v>1525116370.279392</v>
      </c>
      <c r="AV134" s="179">
        <v>1605643104.730212</v>
      </c>
      <c r="AW134" s="179">
        <v>1919008090.4964125</v>
      </c>
      <c r="AX134" s="179">
        <v>2211534585.0033989</v>
      </c>
      <c r="AY134" s="179">
        <v>2460246796.05234</v>
      </c>
      <c r="AZ134" s="179">
        <v>2834168893.2726531</v>
      </c>
      <c r="BA134" s="179">
        <v>3802570572.3751597</v>
      </c>
      <c r="BB134" s="179">
        <v>5139958956.0238838</v>
      </c>
      <c r="BC134" s="179">
        <v>4690061344.1642084</v>
      </c>
      <c r="BD134" s="179">
        <v>4794361821.2061129</v>
      </c>
      <c r="BE134" s="179">
        <v>6197765941.6797457</v>
      </c>
      <c r="BF134" s="179">
        <v>6605142864.3719997</v>
      </c>
      <c r="BG134" s="179">
        <v>7335033799.2621193</v>
      </c>
      <c r="BH134" s="179">
        <v>7468102369.1365385</v>
      </c>
      <c r="BI134" s="179">
        <v>6678177483.4294939</v>
      </c>
      <c r="BJ134" s="179">
        <v>6813095396.1431713</v>
      </c>
      <c r="BK134" s="179">
        <v>7702938395.184576</v>
      </c>
      <c r="BL134" s="179">
        <v>8271106196.0425272</v>
      </c>
      <c r="BM134" s="179">
        <v>8871019822.7609825</v>
      </c>
      <c r="BN134" s="179">
        <v>7780873258.6688719</v>
      </c>
      <c r="BO134" s="179">
        <v>8740681889.2063274</v>
      </c>
      <c r="BP134" s="179">
        <v>10930644915.24011</v>
      </c>
    </row>
    <row r="135" spans="1:68">
      <c r="A135" s="179" t="s">
        <v>732</v>
      </c>
      <c r="B135" s="179">
        <f t="shared" si="2"/>
        <v>0</v>
      </c>
      <c r="C135" s="179" t="s">
        <v>733</v>
      </c>
      <c r="D135" s="179" t="s">
        <v>494</v>
      </c>
      <c r="E135" s="179" t="s">
        <v>495</v>
      </c>
      <c r="AD135" s="179">
        <v>1757142852.6512213</v>
      </c>
      <c r="AE135" s="179">
        <v>2366666615.5555553</v>
      </c>
      <c r="AF135" s="179">
        <v>1776842088.515774</v>
      </c>
      <c r="AG135" s="179">
        <v>1087273103.6963859</v>
      </c>
      <c r="AH135" s="179">
        <v>598961269.29787862</v>
      </c>
      <c r="AI135" s="179">
        <v>714046821.09379697</v>
      </c>
      <c r="AJ135" s="179">
        <v>865559879.28480244</v>
      </c>
      <c r="AK135" s="179">
        <v>1028087972.3108478</v>
      </c>
      <c r="AL135" s="179">
        <v>1127806944.6151268</v>
      </c>
      <c r="AM135" s="179">
        <v>1327748690.126611</v>
      </c>
      <c r="AN135" s="179">
        <v>1543606345.1168365</v>
      </c>
      <c r="AO135" s="179">
        <v>1763536304.5396364</v>
      </c>
      <c r="AP135" s="179">
        <v>1873671550.3463552</v>
      </c>
      <c r="AQ135" s="179">
        <v>1747011857.3310688</v>
      </c>
      <c r="AR135" s="179">
        <v>1280177838.7190535</v>
      </c>
      <c r="AS135" s="179">
        <v>1454430642.4918334</v>
      </c>
      <c r="AT135" s="179">
        <v>1731198022.4549377</v>
      </c>
      <c r="AU135" s="179">
        <v>1768619058.3464744</v>
      </c>
      <c r="AV135" s="179">
        <v>1758176653.0774584</v>
      </c>
      <c r="AW135" s="179">
        <v>2023324407.3031571</v>
      </c>
      <c r="AX135" s="179">
        <v>2366398119.882102</v>
      </c>
      <c r="AY135" s="179">
        <v>2735558734.8140879</v>
      </c>
      <c r="AZ135" s="179">
        <v>3455031447.6019382</v>
      </c>
      <c r="BA135" s="179">
        <v>4223152219.2439027</v>
      </c>
      <c r="BB135" s="179">
        <v>5446434031.690423</v>
      </c>
      <c r="BC135" s="179">
        <v>5836138127.0656242</v>
      </c>
      <c r="BD135" s="179">
        <v>7131773632.713686</v>
      </c>
      <c r="BE135" s="179">
        <v>8750107401.5787239</v>
      </c>
      <c r="BF135" s="179">
        <v>10192848926.258152</v>
      </c>
      <c r="BG135" s="179">
        <v>11983252626.831318</v>
      </c>
      <c r="BH135" s="179">
        <v>13279248478.816078</v>
      </c>
      <c r="BI135" s="179">
        <v>14426381187.089439</v>
      </c>
      <c r="BJ135" s="179">
        <v>15912495368.871679</v>
      </c>
      <c r="BK135" s="179">
        <v>17071162084.406733</v>
      </c>
      <c r="BL135" s="179">
        <v>18141651381.388424</v>
      </c>
      <c r="BM135" s="179">
        <v>18740559554.163242</v>
      </c>
      <c r="BN135" s="179">
        <v>18981800705.079376</v>
      </c>
      <c r="BO135" s="179">
        <v>18827148530.015141</v>
      </c>
      <c r="BP135" s="179">
        <v>15724383783.238453</v>
      </c>
    </row>
    <row r="136" spans="1:68">
      <c r="A136" s="179" t="s">
        <v>757</v>
      </c>
      <c r="B136" s="179">
        <f t="shared" si="2"/>
        <v>0</v>
      </c>
      <c r="C136" s="179" t="s">
        <v>758</v>
      </c>
      <c r="D136" s="179" t="s">
        <v>494</v>
      </c>
      <c r="E136" s="179" t="s">
        <v>495</v>
      </c>
      <c r="F136" s="179">
        <v>187879636913.39804</v>
      </c>
      <c r="G136" s="179">
        <v>174494200572.47021</v>
      </c>
      <c r="H136" s="179">
        <v>177739054287.77051</v>
      </c>
      <c r="I136" s="179">
        <v>193962516262.90173</v>
      </c>
      <c r="J136" s="179">
        <v>213074603900.14975</v>
      </c>
      <c r="K136" s="179">
        <v>239635727703.07526</v>
      </c>
      <c r="L136" s="179">
        <v>266930865057.17984</v>
      </c>
      <c r="M136" s="179">
        <v>268220607339.32123</v>
      </c>
      <c r="N136" s="179">
        <v>272945950308.17383</v>
      </c>
      <c r="O136" s="179">
        <v>304305496423.19733</v>
      </c>
      <c r="P136" s="179">
        <v>346354817312.08667</v>
      </c>
      <c r="Q136" s="179">
        <v>384985432823.90625</v>
      </c>
      <c r="R136" s="179">
        <v>442281525192.43542</v>
      </c>
      <c r="S136" s="179">
        <v>570027356655.5885</v>
      </c>
      <c r="T136" s="179">
        <v>670590593319.99854</v>
      </c>
      <c r="U136" s="179">
        <v>737575791537.23315</v>
      </c>
      <c r="V136" s="179">
        <v>795110050384.08337</v>
      </c>
      <c r="W136" s="179">
        <v>922284640069.31628</v>
      </c>
      <c r="X136" s="179">
        <v>959681796280.20642</v>
      </c>
      <c r="Y136" s="179">
        <v>1141426067178.4424</v>
      </c>
      <c r="Z136" s="179">
        <v>1305127873819.6055</v>
      </c>
      <c r="AA136" s="179">
        <v>1369362066137.7666</v>
      </c>
      <c r="AB136" s="179">
        <v>1392844983995.2622</v>
      </c>
      <c r="AC136" s="179">
        <v>1279910481204.3569</v>
      </c>
      <c r="AD136" s="179">
        <v>1336604317430.2283</v>
      </c>
      <c r="AE136" s="179">
        <v>1446300965545.5242</v>
      </c>
      <c r="AF136" s="179">
        <v>1540156977218.7639</v>
      </c>
      <c r="AG136" s="179">
        <v>1625958434413.4648</v>
      </c>
      <c r="AH136" s="179">
        <v>1773983340014.2539</v>
      </c>
      <c r="AI136" s="179">
        <v>1891766247083.5425</v>
      </c>
      <c r="AJ136" s="179">
        <v>2036712896681.0618</v>
      </c>
      <c r="AK136" s="179">
        <v>2039346669796.4124</v>
      </c>
      <c r="AL136" s="179">
        <v>2075918077864.6904</v>
      </c>
      <c r="AM136" s="179">
        <v>2166490210483.8296</v>
      </c>
      <c r="AN136" s="179">
        <v>2456582443329.8726</v>
      </c>
      <c r="AO136" s="179">
        <v>3018344023471.2969</v>
      </c>
      <c r="AP136" s="179">
        <v>3329641134915.4897</v>
      </c>
      <c r="AQ136" s="179">
        <v>3486552209715.3281</v>
      </c>
      <c r="AR136" s="179">
        <v>3361132425309.6704</v>
      </c>
      <c r="AS136" s="179">
        <v>3106308288146.5186</v>
      </c>
      <c r="AT136" s="179">
        <v>3410160195631.0234</v>
      </c>
      <c r="AU136" s="179">
        <v>3524971410363.019</v>
      </c>
      <c r="AV136" s="179">
        <v>3736762127352.2236</v>
      </c>
      <c r="AW136" s="179">
        <v>4257884246629.2339</v>
      </c>
      <c r="AX136" s="179">
        <v>5117207890045.2871</v>
      </c>
      <c r="AY136" s="179">
        <v>6172838531832.8848</v>
      </c>
      <c r="AZ136" s="179">
        <v>7448570230979.5039</v>
      </c>
      <c r="BA136" s="179">
        <v>9382521778909.0723</v>
      </c>
      <c r="BB136" s="179">
        <v>11663323670463.299</v>
      </c>
      <c r="BC136" s="179">
        <v>11268891687538.111</v>
      </c>
      <c r="BD136" s="179">
        <v>13553728682871.02</v>
      </c>
      <c r="BE136" s="179">
        <v>16519537910748.432</v>
      </c>
      <c r="BF136" s="179">
        <v>17680702314004.117</v>
      </c>
      <c r="BG136" s="179">
        <v>19042110155027.32</v>
      </c>
      <c r="BH136" s="179">
        <v>19775313806693.078</v>
      </c>
      <c r="BI136" s="179">
        <v>18549854155934.09</v>
      </c>
      <c r="BJ136" s="179">
        <v>18593432462844.871</v>
      </c>
      <c r="BK136" s="179">
        <v>20629823637317.137</v>
      </c>
      <c r="BL136" s="179">
        <v>22621357448474.078</v>
      </c>
      <c r="BM136" s="179">
        <v>23047283010403.613</v>
      </c>
      <c r="BN136" s="179">
        <v>22525940505680.473</v>
      </c>
      <c r="BO136" s="179">
        <v>26827496302511.383</v>
      </c>
      <c r="BP136" s="179">
        <v>28078790059154.926</v>
      </c>
    </row>
    <row r="137" spans="1:68">
      <c r="A137" s="179" t="s">
        <v>742</v>
      </c>
      <c r="B137" s="179">
        <f t="shared" si="2"/>
        <v>0</v>
      </c>
      <c r="C137" s="179" t="s">
        <v>743</v>
      </c>
      <c r="D137" s="179" t="s">
        <v>494</v>
      </c>
      <c r="E137" s="179" t="s">
        <v>495</v>
      </c>
      <c r="F137" s="179">
        <v>84318575227.748016</v>
      </c>
      <c r="G137" s="179">
        <v>89675894612.835266</v>
      </c>
      <c r="H137" s="179">
        <v>98223077655.422638</v>
      </c>
      <c r="I137" s="179">
        <v>99825291120.700775</v>
      </c>
      <c r="J137" s="179">
        <v>111007004326.04732</v>
      </c>
      <c r="K137" s="179">
        <v>119321358656.63611</v>
      </c>
      <c r="L137" s="179">
        <v>131372225704.13072</v>
      </c>
      <c r="M137" s="179">
        <v>133988765349.13916</v>
      </c>
      <c r="N137" s="179">
        <v>143800251072.1445</v>
      </c>
      <c r="O137" s="179">
        <v>160632293252.97583</v>
      </c>
      <c r="P137" s="179">
        <v>175240043825.85953</v>
      </c>
      <c r="Q137" s="179">
        <v>195438627761.00247</v>
      </c>
      <c r="R137" s="179">
        <v>219799370310.71439</v>
      </c>
      <c r="S137" s="179">
        <v>292374754566.07275</v>
      </c>
      <c r="T137" s="179">
        <v>379037627171.51398</v>
      </c>
      <c r="U137" s="179">
        <v>397575551770.33429</v>
      </c>
      <c r="V137" s="179">
        <v>436013451488.3324</v>
      </c>
      <c r="W137" s="179">
        <v>478835118003.80298</v>
      </c>
      <c r="X137" s="179">
        <v>574135939798.51453</v>
      </c>
      <c r="Y137" s="179">
        <v>644210824206.37427</v>
      </c>
      <c r="Z137" s="179">
        <v>783195794768.86426</v>
      </c>
      <c r="AA137" s="179">
        <v>894234459001.92542</v>
      </c>
      <c r="AB137" s="179">
        <v>829114297208.29297</v>
      </c>
      <c r="AC137" s="179">
        <v>726344898907.74988</v>
      </c>
      <c r="AD137" s="179">
        <v>764325858454.20288</v>
      </c>
      <c r="AE137" s="179">
        <v>755896507938.20776</v>
      </c>
      <c r="AF137" s="179">
        <v>765359263970.31653</v>
      </c>
      <c r="AG137" s="179">
        <v>821438499128.0907</v>
      </c>
      <c r="AH137" s="179">
        <v>900990448826.75439</v>
      </c>
      <c r="AI137" s="179">
        <v>994835204858.41467</v>
      </c>
      <c r="AJ137" s="179">
        <v>1182388726802.3525</v>
      </c>
      <c r="AK137" s="179">
        <v>1255265130869.1987</v>
      </c>
      <c r="AL137" s="179">
        <v>1361340161546.9922</v>
      </c>
      <c r="AM137" s="179">
        <v>1577325564649.2551</v>
      </c>
      <c r="AN137" s="179">
        <v>1790101644829.4216</v>
      </c>
      <c r="AO137" s="179">
        <v>1921600530928.8225</v>
      </c>
      <c r="AP137" s="179">
        <v>2079817890114.0906</v>
      </c>
      <c r="AQ137" s="179">
        <v>2280268567139.3799</v>
      </c>
      <c r="AR137" s="179">
        <v>2300623733039.0981</v>
      </c>
      <c r="AS137" s="179">
        <v>2076139362655.0073</v>
      </c>
      <c r="AT137" s="179">
        <v>2292616638222.3447</v>
      </c>
      <c r="AU137" s="179">
        <v>2243442747463.7632</v>
      </c>
      <c r="AV137" s="179">
        <v>2014495003952.9287</v>
      </c>
      <c r="AW137" s="179">
        <v>2055791160220.7837</v>
      </c>
      <c r="AX137" s="179">
        <v>2368190257952.2759</v>
      </c>
      <c r="AY137" s="179">
        <v>2862846929424.8628</v>
      </c>
      <c r="AZ137" s="179">
        <v>3351829873357.0127</v>
      </c>
      <c r="BA137" s="179">
        <v>3948805125189.7231</v>
      </c>
      <c r="BB137" s="179">
        <v>4591296955065.0596</v>
      </c>
      <c r="BC137" s="179">
        <v>4314362221813.6714</v>
      </c>
      <c r="BD137" s="179">
        <v>5349060248474.0283</v>
      </c>
      <c r="BE137" s="179">
        <v>6088730809328.627</v>
      </c>
      <c r="BF137" s="179">
        <v>6155024383504.0977</v>
      </c>
      <c r="BG137" s="179">
        <v>6307751441599.8662</v>
      </c>
      <c r="BH137" s="179">
        <v>6432625813025.4473</v>
      </c>
      <c r="BI137" s="179">
        <v>5376540613253.8379</v>
      </c>
      <c r="BJ137" s="179">
        <v>5249746391043.5684</v>
      </c>
      <c r="BK137" s="179">
        <v>5832610432359.3994</v>
      </c>
      <c r="BL137" s="179">
        <v>5706087467774.4619</v>
      </c>
      <c r="BM137" s="179">
        <v>5622813152782.541</v>
      </c>
      <c r="BN137" s="179">
        <v>4777568569259.7217</v>
      </c>
      <c r="BO137" s="179">
        <v>5510523909432.7812</v>
      </c>
      <c r="BP137" s="179">
        <v>6246621760429.0537</v>
      </c>
    </row>
    <row r="138" spans="1:68">
      <c r="A138" s="179" t="s">
        <v>730</v>
      </c>
      <c r="B138" s="179">
        <f t="shared" si="2"/>
        <v>0</v>
      </c>
      <c r="C138" s="179" t="s">
        <v>731</v>
      </c>
      <c r="D138" s="179" t="s">
        <v>494</v>
      </c>
      <c r="E138" s="179" t="s">
        <v>495</v>
      </c>
      <c r="F138" s="179">
        <v>68172083254.547508</v>
      </c>
      <c r="G138" s="179">
        <v>71358741142.551895</v>
      </c>
      <c r="H138" s="179">
        <v>77592630259.609131</v>
      </c>
      <c r="I138" s="179">
        <v>78189337825.534668</v>
      </c>
      <c r="J138" s="179">
        <v>89672295454.396301</v>
      </c>
      <c r="K138" s="179">
        <v>97220145030.430145</v>
      </c>
      <c r="L138" s="179">
        <v>107487358657.43275</v>
      </c>
      <c r="M138" s="179">
        <v>109346248633.25385</v>
      </c>
      <c r="N138" s="179">
        <v>117684655539.16039</v>
      </c>
      <c r="O138" s="179">
        <v>131858221954.73358</v>
      </c>
      <c r="P138" s="179">
        <v>143400008471.56473</v>
      </c>
      <c r="Q138" s="179">
        <v>158746442517.71716</v>
      </c>
      <c r="R138" s="179">
        <v>180600747008.55798</v>
      </c>
      <c r="S138" s="179">
        <v>241708939206.43326</v>
      </c>
      <c r="T138" s="179">
        <v>317535791822.91327</v>
      </c>
      <c r="U138" s="179">
        <v>342490337010.1026</v>
      </c>
      <c r="V138" s="179">
        <v>372929451128.76129</v>
      </c>
      <c r="W138" s="179">
        <v>404811983096.71649</v>
      </c>
      <c r="X138" s="179">
        <v>491322209511.27258</v>
      </c>
      <c r="Y138" s="179">
        <v>540434106785.60266</v>
      </c>
      <c r="Z138" s="179">
        <v>652900348679.67126</v>
      </c>
      <c r="AA138" s="179">
        <v>746794081743.70422</v>
      </c>
      <c r="AB138" s="179">
        <v>688972840488.12256</v>
      </c>
      <c r="AC138" s="179">
        <v>595353311198.78955</v>
      </c>
      <c r="AD138" s="179">
        <v>639292019906.35107</v>
      </c>
      <c r="AE138" s="179">
        <v>629334804009.31873</v>
      </c>
      <c r="AF138" s="179">
        <v>638062538337.66321</v>
      </c>
      <c r="AG138" s="179">
        <v>699109189467.02405</v>
      </c>
      <c r="AH138" s="179">
        <v>759914669809.62427</v>
      </c>
      <c r="AI138" s="179">
        <v>863824214500.63342</v>
      </c>
      <c r="AJ138" s="179">
        <v>1037525767088.178</v>
      </c>
      <c r="AK138" s="179">
        <v>1096033508686.7308</v>
      </c>
      <c r="AL138" s="179">
        <v>1181392530141.9385</v>
      </c>
      <c r="AM138" s="179">
        <v>1388822926019.8818</v>
      </c>
      <c r="AN138" s="179">
        <v>1587966516149.9775</v>
      </c>
      <c r="AO138" s="179">
        <v>1677764154596.9717</v>
      </c>
      <c r="AP138" s="179">
        <v>1831882512080.0522</v>
      </c>
      <c r="AQ138" s="179">
        <v>1998857548431.9087</v>
      </c>
      <c r="AR138" s="179">
        <v>2007868542123.3669</v>
      </c>
      <c r="AS138" s="179">
        <v>1779289107461.9673</v>
      </c>
      <c r="AT138" s="179">
        <v>1968111942216.415</v>
      </c>
      <c r="AU138" s="179">
        <v>1913381580564.6943</v>
      </c>
      <c r="AV138" s="179">
        <v>1720013397494.821</v>
      </c>
      <c r="AW138" s="179">
        <v>1759192766236.821</v>
      </c>
      <c r="AX138" s="179">
        <v>2007862301447.1655</v>
      </c>
      <c r="AY138" s="179">
        <v>2431628661931.7788</v>
      </c>
      <c r="AZ138" s="179">
        <v>2837320247592.5049</v>
      </c>
      <c r="BA138" s="179">
        <v>3353094482458.8398</v>
      </c>
      <c r="BB138" s="179">
        <v>3880462417139.7354</v>
      </c>
      <c r="BC138" s="179">
        <v>3602278080284.8755</v>
      </c>
      <c r="BD138" s="179">
        <v>4510085308198.2656</v>
      </c>
      <c r="BE138" s="179">
        <v>5272190542589.3213</v>
      </c>
      <c r="BF138" s="179">
        <v>5244059018780.5898</v>
      </c>
      <c r="BG138" s="179">
        <v>5382355778791.4141</v>
      </c>
      <c r="BH138" s="179">
        <v>5407158752447.376</v>
      </c>
      <c r="BI138" s="179">
        <v>4595236035713.8623</v>
      </c>
      <c r="BJ138" s="179">
        <v>4465515336167.2979</v>
      </c>
      <c r="BK138" s="179">
        <v>4980919738935.9121</v>
      </c>
      <c r="BL138" s="179">
        <v>4836605850788.749</v>
      </c>
      <c r="BM138" s="179">
        <v>4769077474514.3105</v>
      </c>
      <c r="BN138" s="179">
        <v>4020603113235.6123</v>
      </c>
      <c r="BO138" s="179">
        <v>4624162365921.0312</v>
      </c>
      <c r="BP138" s="179">
        <v>5300574665731.3691</v>
      </c>
    </row>
    <row r="139" spans="1:68">
      <c r="A139" s="179" t="s">
        <v>936</v>
      </c>
      <c r="B139" s="179">
        <f t="shared" si="2"/>
        <v>0</v>
      </c>
      <c r="C139" s="179" t="s">
        <v>937</v>
      </c>
      <c r="D139" s="179" t="s">
        <v>494</v>
      </c>
      <c r="E139" s="179" t="s">
        <v>495</v>
      </c>
      <c r="F139" s="179">
        <v>79315282447.444824</v>
      </c>
      <c r="G139" s="179">
        <v>84250590001.338409</v>
      </c>
      <c r="H139" s="179">
        <v>92203741567.232025</v>
      </c>
      <c r="I139" s="179">
        <v>93477829839.747818</v>
      </c>
      <c r="J139" s="179">
        <v>103971029018.66809</v>
      </c>
      <c r="K139" s="179">
        <v>111624496289.09074</v>
      </c>
      <c r="L139" s="179">
        <v>122890761036.25162</v>
      </c>
      <c r="M139" s="179">
        <v>124995671389.65279</v>
      </c>
      <c r="N139" s="179">
        <v>133972063278.55006</v>
      </c>
      <c r="O139" s="179">
        <v>149564865387.49792</v>
      </c>
      <c r="P139" s="179">
        <v>163035462319.48221</v>
      </c>
      <c r="Q139" s="179">
        <v>181256770704.05496</v>
      </c>
      <c r="R139" s="179">
        <v>203566728912.76361</v>
      </c>
      <c r="S139" s="179">
        <v>273148758074.2597</v>
      </c>
      <c r="T139" s="179">
        <v>357287703638.82416</v>
      </c>
      <c r="U139" s="179">
        <v>373551821303.1225</v>
      </c>
      <c r="V139" s="179">
        <v>410203988414.58179</v>
      </c>
      <c r="W139" s="179">
        <v>451343454783.01581</v>
      </c>
      <c r="X139" s="179">
        <v>541143245103.21667</v>
      </c>
      <c r="Y139" s="179">
        <v>607151446385.03821</v>
      </c>
      <c r="Z139" s="179">
        <v>742956710455.854</v>
      </c>
      <c r="AA139" s="179">
        <v>851543041538.72656</v>
      </c>
      <c r="AB139" s="179">
        <v>784904152926.70142</v>
      </c>
      <c r="AC139" s="179">
        <v>680609173310.11353</v>
      </c>
      <c r="AD139" s="179">
        <v>714278722532.59607</v>
      </c>
      <c r="AE139" s="179">
        <v>705537546137.0293</v>
      </c>
      <c r="AF139" s="179">
        <v>711641297660.48059</v>
      </c>
      <c r="AG139" s="179">
        <v>764012497642.10828</v>
      </c>
      <c r="AH139" s="179">
        <v>838320487980.65515</v>
      </c>
      <c r="AI139" s="179">
        <v>929914241888.60522</v>
      </c>
      <c r="AJ139" s="179">
        <v>1112474893935.6306</v>
      </c>
      <c r="AK139" s="179">
        <v>1187645180028.5054</v>
      </c>
      <c r="AL139" s="179">
        <v>1293163079803.5576</v>
      </c>
      <c r="AM139" s="179">
        <v>1505498659371.3425</v>
      </c>
      <c r="AN139" s="179">
        <v>1708158258793.4978</v>
      </c>
      <c r="AO139" s="179">
        <v>1833883373145.9937</v>
      </c>
      <c r="AP139" s="179">
        <v>1993801976965.8435</v>
      </c>
      <c r="AQ139" s="179">
        <v>2187247412386.5034</v>
      </c>
      <c r="AR139" s="179">
        <v>2200298432576.2266</v>
      </c>
      <c r="AS139" s="179">
        <v>1969284663624.8477</v>
      </c>
      <c r="AT139" s="179">
        <v>2178185355320.6521</v>
      </c>
      <c r="AU139" s="179">
        <v>2120324403166.2107</v>
      </c>
      <c r="AV139" s="179">
        <v>1887242432115.4045</v>
      </c>
      <c r="AW139" s="179">
        <v>1922534458021.3796</v>
      </c>
      <c r="AX139" s="179">
        <v>2225384515789.7622</v>
      </c>
      <c r="AY139" s="179">
        <v>2708927963301.1538</v>
      </c>
      <c r="AZ139" s="179">
        <v>3186236239229.9663</v>
      </c>
      <c r="BA139" s="179">
        <v>3773229879831.7275</v>
      </c>
      <c r="BB139" s="179">
        <v>4409097095011.0547</v>
      </c>
      <c r="BC139" s="179">
        <v>4130162256669.2144</v>
      </c>
      <c r="BD139" s="179">
        <v>5159729033221.1113</v>
      </c>
      <c r="BE139" s="179">
        <v>5887034342421.417</v>
      </c>
      <c r="BF139" s="179">
        <v>5947252224241.9971</v>
      </c>
      <c r="BG139" s="179">
        <v>6095171749897.2295</v>
      </c>
      <c r="BH139" s="179">
        <v>6215504429530.9854</v>
      </c>
      <c r="BI139" s="179">
        <v>5148471978658.5176</v>
      </c>
      <c r="BJ139" s="179">
        <v>5015399889886.7998</v>
      </c>
      <c r="BK139" s="179">
        <v>5593216809529.6348</v>
      </c>
      <c r="BL139" s="179">
        <v>5464428426578.0957</v>
      </c>
      <c r="BM139" s="179">
        <v>5371331762438.7959</v>
      </c>
      <c r="BN139" s="179">
        <v>4529215519228.9238</v>
      </c>
      <c r="BO139" s="179">
        <v>5238233593531.7676</v>
      </c>
      <c r="BP139" s="179">
        <v>5945540330771.4531</v>
      </c>
    </row>
    <row r="140" spans="1:68">
      <c r="A140" s="179" t="s">
        <v>762</v>
      </c>
      <c r="B140" s="179">
        <f t="shared" si="2"/>
        <v>1</v>
      </c>
      <c r="C140" s="179" t="s">
        <v>763</v>
      </c>
      <c r="D140" s="179" t="s">
        <v>494</v>
      </c>
      <c r="E140" s="179" t="s">
        <v>495</v>
      </c>
      <c r="AO140" s="179">
        <v>5789128636.6229315</v>
      </c>
      <c r="AP140" s="179">
        <v>5975248851.4548244</v>
      </c>
      <c r="AQ140" s="179">
        <v>6527926445.6811037</v>
      </c>
      <c r="AR140" s="179">
        <v>7166275467.6516142</v>
      </c>
      <c r="AS140" s="179">
        <v>7533788133.5575304</v>
      </c>
      <c r="AT140" s="179">
        <v>7958852838.9339514</v>
      </c>
      <c r="AU140" s="179">
        <v>8362398701.5894337</v>
      </c>
      <c r="AV140" s="179">
        <v>9557031605.2751236</v>
      </c>
      <c r="AW140" s="179">
        <v>11771975156.80728</v>
      </c>
      <c r="AX140" s="179">
        <v>14435700533.368023</v>
      </c>
      <c r="AY140" s="179">
        <v>17003459863.098942</v>
      </c>
      <c r="AZ140" s="179">
        <v>21570076498.620518</v>
      </c>
      <c r="BA140" s="179">
        <v>31054350977.97839</v>
      </c>
      <c r="BB140" s="179">
        <v>35854274228.913902</v>
      </c>
      <c r="BC140" s="179">
        <v>26410909090.909088</v>
      </c>
      <c r="BD140" s="179">
        <v>23956163076.55748</v>
      </c>
      <c r="BE140" s="179">
        <v>27474380566.265041</v>
      </c>
      <c r="BF140" s="179">
        <v>28169902669.378365</v>
      </c>
      <c r="BG140" s="179">
        <v>30204783461.848808</v>
      </c>
      <c r="BH140" s="179">
        <v>31386896487.040173</v>
      </c>
      <c r="BI140" s="179">
        <v>27263090547.061707</v>
      </c>
      <c r="BJ140" s="179">
        <v>28083597512.484894</v>
      </c>
      <c r="BK140" s="179">
        <v>30483806017.832092</v>
      </c>
      <c r="BL140" s="179">
        <v>34429023435.020538</v>
      </c>
      <c r="BM140" s="179">
        <v>34343961072.822861</v>
      </c>
      <c r="BN140" s="179">
        <v>34601740323.338028</v>
      </c>
      <c r="BO140" s="179">
        <v>39725383601.21254</v>
      </c>
      <c r="BP140" s="179">
        <v>41153912662.86203</v>
      </c>
    </row>
    <row r="141" spans="1:68">
      <c r="A141" s="179" t="s">
        <v>744</v>
      </c>
      <c r="B141" s="179">
        <f t="shared" si="2"/>
        <v>0</v>
      </c>
      <c r="C141" s="179" t="s">
        <v>745</v>
      </c>
      <c r="D141" s="179" t="s">
        <v>494</v>
      </c>
      <c r="E141" s="179" t="s">
        <v>495</v>
      </c>
      <c r="Z141" s="179">
        <v>114388369068.08511</v>
      </c>
      <c r="AA141" s="179">
        <v>114943011933.73721</v>
      </c>
      <c r="AB141" s="179">
        <v>112848745156.73024</v>
      </c>
      <c r="AC141" s="179">
        <v>107374274962.50902</v>
      </c>
      <c r="AD141" s="179">
        <v>107081110481.50624</v>
      </c>
      <c r="AE141" s="179">
        <v>112104592681.8268</v>
      </c>
      <c r="AF141" s="179">
        <v>120734699670.91037</v>
      </c>
      <c r="AG141" s="179">
        <v>132694713024.30345</v>
      </c>
      <c r="AH141" s="179">
        <v>146223434472.68729</v>
      </c>
      <c r="AI141" s="179">
        <v>157936434389.62595</v>
      </c>
      <c r="AJ141" s="179">
        <v>183320992524.6969</v>
      </c>
      <c r="AK141" s="179">
        <v>199242726122.47333</v>
      </c>
      <c r="AL141" s="179">
        <v>155907494888.32129</v>
      </c>
      <c r="AM141" s="179">
        <v>154503526457.34546</v>
      </c>
      <c r="AN141" s="179">
        <v>136273002895.92323</v>
      </c>
      <c r="AO141" s="179">
        <v>157454198833.33267</v>
      </c>
      <c r="AP141" s="179">
        <v>173942915415.89221</v>
      </c>
      <c r="AQ141" s="179">
        <v>183070947764.70966</v>
      </c>
      <c r="AR141" s="179">
        <v>185798413620.16913</v>
      </c>
      <c r="AS141" s="179">
        <v>190711896125.82333</v>
      </c>
      <c r="AT141" s="179">
        <v>218551115853.24545</v>
      </c>
      <c r="AU141" s="179">
        <v>213552754871.93869</v>
      </c>
      <c r="AV141" s="179">
        <v>232634513018.35971</v>
      </c>
      <c r="AW141" s="179">
        <v>260880555873.82483</v>
      </c>
      <c r="AX141" s="179">
        <v>301221296680.88361</v>
      </c>
      <c r="AY141" s="179">
        <v>355554375620.8811</v>
      </c>
      <c r="AZ141" s="179">
        <v>412394708354.56451</v>
      </c>
      <c r="BA141" s="179">
        <v>494316747340.85596</v>
      </c>
      <c r="BB141" s="179">
        <v>603522585096.70972</v>
      </c>
      <c r="BC141" s="179">
        <v>607850693730.48462</v>
      </c>
      <c r="BD141" s="179">
        <v>690376684490.48083</v>
      </c>
      <c r="BE141" s="179">
        <v>801926397361.64111</v>
      </c>
      <c r="BF141" s="179">
        <v>841893938607.49817</v>
      </c>
      <c r="BG141" s="179">
        <v>917315427880.03052</v>
      </c>
      <c r="BH141" s="179">
        <v>985868650324.88464</v>
      </c>
      <c r="BI141" s="179">
        <v>954995951520.47485</v>
      </c>
      <c r="BJ141" s="179">
        <v>990949126516.12451</v>
      </c>
      <c r="BK141" s="179">
        <v>1104009004406.9875</v>
      </c>
      <c r="BL141" s="179">
        <v>1088187940163.632</v>
      </c>
      <c r="BM141" s="179">
        <v>1142396570094.3857</v>
      </c>
      <c r="BN141" s="179">
        <v>1162434896497.1387</v>
      </c>
      <c r="BO141" s="179">
        <v>1266463101991.606</v>
      </c>
      <c r="BP141" s="179">
        <v>1416759808404.4651</v>
      </c>
    </row>
    <row r="142" spans="1:68">
      <c r="A142" s="179" t="s">
        <v>734</v>
      </c>
      <c r="B142" s="179">
        <f t="shared" si="2"/>
        <v>1</v>
      </c>
      <c r="C142" s="179" t="s">
        <v>735</v>
      </c>
      <c r="D142" s="179" t="s">
        <v>494</v>
      </c>
      <c r="E142" s="179" t="s">
        <v>495</v>
      </c>
      <c r="AH142" s="179">
        <v>3313540067.9324584</v>
      </c>
      <c r="AI142" s="179">
        <v>2717998687.7100158</v>
      </c>
      <c r="AJ142" s="179">
        <v>2838485353.9618664</v>
      </c>
      <c r="AK142" s="179">
        <v>4690415092.5366325</v>
      </c>
      <c r="AL142" s="179">
        <v>5843579160.9012194</v>
      </c>
      <c r="AM142" s="179">
        <v>7941744492.1211014</v>
      </c>
      <c r="AN142" s="179">
        <v>9599127049.9375038</v>
      </c>
      <c r="AO142" s="179">
        <v>11718795528.493893</v>
      </c>
      <c r="AP142" s="179">
        <v>13690217333.269695</v>
      </c>
      <c r="AQ142" s="179">
        <v>15751867489.444624</v>
      </c>
      <c r="AR142" s="179">
        <v>17247179005.521946</v>
      </c>
      <c r="AS142" s="179">
        <v>17391056369.226524</v>
      </c>
      <c r="AT142" s="179">
        <v>17260364842.454395</v>
      </c>
      <c r="AU142" s="179">
        <v>17649751243.781094</v>
      </c>
      <c r="AV142" s="179">
        <v>19152238805.97015</v>
      </c>
      <c r="AW142" s="179">
        <v>20082918739.635159</v>
      </c>
      <c r="AX142" s="179">
        <v>21159827992.039803</v>
      </c>
      <c r="AY142" s="179">
        <v>21497336498.971809</v>
      </c>
      <c r="AZ142" s="179">
        <v>22022709851.54229</v>
      </c>
      <c r="BA142" s="179">
        <v>24827355014.660034</v>
      </c>
      <c r="BB142" s="179">
        <v>29118916105.605309</v>
      </c>
      <c r="BC142" s="179">
        <v>35399582928.62355</v>
      </c>
      <c r="BD142" s="179">
        <v>38443907042.321724</v>
      </c>
      <c r="BE142" s="179">
        <v>39927125961.194031</v>
      </c>
      <c r="BF142" s="179">
        <v>44016799515.820892</v>
      </c>
      <c r="BG142" s="179">
        <v>46880103080.663353</v>
      </c>
      <c r="BH142" s="179">
        <v>48095213746.467659</v>
      </c>
      <c r="BI142" s="179">
        <v>49929337837.081261</v>
      </c>
      <c r="BJ142" s="179">
        <v>51147308773.930351</v>
      </c>
      <c r="BK142" s="179">
        <v>53027680685.837479</v>
      </c>
      <c r="BL142" s="179">
        <v>54901519155.621887</v>
      </c>
      <c r="BM142" s="179">
        <v>51605959131.365379</v>
      </c>
      <c r="BN142" s="179">
        <v>31712128253.796097</v>
      </c>
      <c r="BO142" s="179">
        <v>23131941556.784348</v>
      </c>
    </row>
    <row r="143" spans="1:68">
      <c r="A143" s="179" t="s">
        <v>755</v>
      </c>
      <c r="B143" s="179">
        <f t="shared" si="2"/>
        <v>1</v>
      </c>
      <c r="C143" s="179" t="s">
        <v>756</v>
      </c>
      <c r="D143" s="179" t="s">
        <v>494</v>
      </c>
      <c r="E143" s="179" t="s">
        <v>495</v>
      </c>
      <c r="F143" s="179">
        <v>34579986.181837507</v>
      </c>
      <c r="G143" s="179">
        <v>35699985.73428569</v>
      </c>
      <c r="H143" s="179">
        <v>41859983.272750668</v>
      </c>
      <c r="I143" s="179">
        <v>47039981.202823497</v>
      </c>
      <c r="J143" s="179">
        <v>51939979.244784273</v>
      </c>
      <c r="K143" s="179">
        <v>54879978.069960743</v>
      </c>
      <c r="L143" s="179">
        <v>56699977.342689037</v>
      </c>
      <c r="M143" s="179">
        <v>59261976.318914242</v>
      </c>
      <c r="N143" s="179">
        <v>61445975.446188189</v>
      </c>
      <c r="O143" s="179">
        <v>65967973.639197707</v>
      </c>
      <c r="P143" s="179">
        <v>68739972.531506956</v>
      </c>
      <c r="Q143" s="179">
        <v>76480293.952411234</v>
      </c>
      <c r="R143" s="179">
        <v>80913175.462897971</v>
      </c>
      <c r="S143" s="179">
        <v>121188698.64206879</v>
      </c>
      <c r="T143" s="179">
        <v>150851315.73463553</v>
      </c>
      <c r="U143" s="179">
        <v>149558945.40373051</v>
      </c>
      <c r="V143" s="179">
        <v>147659999.8716</v>
      </c>
      <c r="W143" s="179">
        <v>193314999.8319</v>
      </c>
      <c r="X143" s="179">
        <v>266569999.76820001</v>
      </c>
      <c r="Y143" s="179">
        <v>290134729.68374699</v>
      </c>
      <c r="Z143" s="179">
        <v>431542682.23601174</v>
      </c>
      <c r="AA143" s="179">
        <v>434188034.18803424</v>
      </c>
      <c r="AB143" s="179">
        <v>348741737.28404212</v>
      </c>
      <c r="AC143" s="179">
        <v>386699308.94594276</v>
      </c>
      <c r="AD143" s="179">
        <v>333163557.42108917</v>
      </c>
      <c r="AE143" s="179">
        <v>268629925.92311567</v>
      </c>
      <c r="AF143" s="179">
        <v>318858469.53822535</v>
      </c>
      <c r="AG143" s="179">
        <v>402768258.54193676</v>
      </c>
      <c r="AH143" s="179">
        <v>470395904.05404949</v>
      </c>
      <c r="AI143" s="179">
        <v>495409138.18035197</v>
      </c>
      <c r="AJ143" s="179">
        <v>596410302.16263044</v>
      </c>
      <c r="AK143" s="179">
        <v>704325366.71839321</v>
      </c>
      <c r="AL143" s="179">
        <v>831029813.14082909</v>
      </c>
      <c r="AM143" s="179">
        <v>835582169.020455</v>
      </c>
      <c r="AN143" s="179">
        <v>878250862.83413339</v>
      </c>
      <c r="AO143" s="179">
        <v>1001894000.2784605</v>
      </c>
      <c r="AP143" s="179">
        <v>946112456.16826808</v>
      </c>
      <c r="AQ143" s="179">
        <v>998004330.90987015</v>
      </c>
      <c r="AR143" s="179">
        <v>928460865.11773264</v>
      </c>
      <c r="AS143" s="179">
        <v>912773656.15018463</v>
      </c>
      <c r="AT143" s="179">
        <v>887291645.30246592</v>
      </c>
      <c r="AU143" s="179">
        <v>825706961.2386893</v>
      </c>
      <c r="AV143" s="179">
        <v>775777263.09078431</v>
      </c>
      <c r="AW143" s="179">
        <v>1157825409.2804792</v>
      </c>
      <c r="AX143" s="179">
        <v>1511236655.5204656</v>
      </c>
      <c r="AY143" s="179">
        <v>1682343439.3097601</v>
      </c>
      <c r="AZ143" s="179">
        <v>1800092519.4493275</v>
      </c>
      <c r="BA143" s="179">
        <v>1682025303.1603045</v>
      </c>
      <c r="BB143" s="179">
        <v>1766820422.4798028</v>
      </c>
      <c r="BC143" s="179">
        <v>1740835819.8007951</v>
      </c>
      <c r="BD143" s="179">
        <v>2234731973.5511899</v>
      </c>
      <c r="BE143" s="179">
        <v>2579421686.2491217</v>
      </c>
      <c r="BF143" s="179">
        <v>2477702252.8007793</v>
      </c>
      <c r="BG143" s="179">
        <v>2367113170.0037308</v>
      </c>
      <c r="BH143" s="179">
        <v>2441063169.4792218</v>
      </c>
      <c r="BI143" s="179">
        <v>2359754087.5816941</v>
      </c>
      <c r="BJ143" s="179">
        <v>2114426468.6568105</v>
      </c>
      <c r="BK143" s="179">
        <v>2306741598.7967725</v>
      </c>
      <c r="BL143" s="179">
        <v>2556247155.5694456</v>
      </c>
      <c r="BM143" s="179">
        <v>2436029587.6100879</v>
      </c>
      <c r="BN143" s="179">
        <v>2117736527.7988636</v>
      </c>
      <c r="BO143" s="179">
        <v>2373416268.5110688</v>
      </c>
      <c r="BP143" s="179">
        <v>2553459762.7991991</v>
      </c>
    </row>
    <row r="144" spans="1:68">
      <c r="A144" s="179" t="s">
        <v>736</v>
      </c>
      <c r="B144" s="179">
        <f t="shared" si="2"/>
        <v>1</v>
      </c>
      <c r="C144" s="179" t="s">
        <v>737</v>
      </c>
      <c r="D144" s="179" t="s">
        <v>494</v>
      </c>
      <c r="E144" s="179" t="s">
        <v>495</v>
      </c>
      <c r="AT144" s="179">
        <v>874000000</v>
      </c>
      <c r="AU144" s="179">
        <v>906000000</v>
      </c>
      <c r="AV144" s="179">
        <v>927000000</v>
      </c>
      <c r="AW144" s="179">
        <v>748000000</v>
      </c>
      <c r="AX144" s="179">
        <v>897000000</v>
      </c>
      <c r="AY144" s="179">
        <v>949000000</v>
      </c>
      <c r="AZ144" s="179">
        <v>1119000000</v>
      </c>
      <c r="BA144" s="179">
        <v>1373000000</v>
      </c>
      <c r="BB144" s="179">
        <v>1726000000</v>
      </c>
      <c r="BC144" s="179">
        <v>1768000000</v>
      </c>
      <c r="BD144" s="179">
        <v>1998000000</v>
      </c>
      <c r="BE144" s="179">
        <v>2398000000</v>
      </c>
      <c r="BF144" s="179">
        <v>2791614000</v>
      </c>
      <c r="BG144" s="179">
        <v>3177198100</v>
      </c>
      <c r="BH144" s="179">
        <v>3225652000</v>
      </c>
      <c r="BI144" s="179">
        <v>3227075700</v>
      </c>
      <c r="BJ144" s="179">
        <v>3398419600</v>
      </c>
      <c r="BK144" s="179">
        <v>3390703400</v>
      </c>
      <c r="BL144" s="179">
        <v>3422754800</v>
      </c>
      <c r="BM144" s="179">
        <v>3319596500</v>
      </c>
      <c r="BN144" s="179">
        <v>3039982500</v>
      </c>
      <c r="BO144" s="179">
        <v>3509000000</v>
      </c>
      <c r="BP144" s="179">
        <v>4001047150</v>
      </c>
    </row>
    <row r="145" spans="1:68">
      <c r="A145" s="179" t="s">
        <v>738</v>
      </c>
      <c r="B145" s="179">
        <f t="shared" si="2"/>
        <v>1</v>
      </c>
      <c r="C145" s="179" t="s">
        <v>739</v>
      </c>
      <c r="D145" s="179" t="s">
        <v>494</v>
      </c>
      <c r="E145" s="179" t="s">
        <v>495</v>
      </c>
      <c r="AJ145" s="179">
        <v>28904164239.303799</v>
      </c>
      <c r="AK145" s="179">
        <v>31991785107.628769</v>
      </c>
      <c r="AL145" s="179">
        <v>33887005287.737598</v>
      </c>
      <c r="AM145" s="179">
        <v>30660029871.151478</v>
      </c>
      <c r="AN145" s="179">
        <v>28610532505.414921</v>
      </c>
      <c r="AO145" s="179">
        <v>25541383196.730171</v>
      </c>
      <c r="AP145" s="179">
        <v>27884630117.575768</v>
      </c>
      <c r="AQ145" s="179">
        <v>30700890193.316254</v>
      </c>
      <c r="AR145" s="179">
        <v>27251275902.549061</v>
      </c>
      <c r="AS145" s="179">
        <v>35975878804.296951</v>
      </c>
      <c r="AT145" s="179">
        <v>38270983031.82457</v>
      </c>
      <c r="AU145" s="179">
        <v>34112079628.569321</v>
      </c>
      <c r="AV145" s="179">
        <v>20481889763.779526</v>
      </c>
      <c r="AW145" s="179">
        <v>26265625000</v>
      </c>
      <c r="AX145" s="179">
        <v>33122307692.30769</v>
      </c>
      <c r="AY145" s="179">
        <v>47334697611.854836</v>
      </c>
      <c r="AZ145" s="179">
        <v>60094248771.991806</v>
      </c>
      <c r="BA145" s="179">
        <v>68032985520.267586</v>
      </c>
      <c r="BB145" s="179">
        <v>86710739534.552551</v>
      </c>
      <c r="BC145" s="179">
        <v>60808538330.341743</v>
      </c>
      <c r="BD145" s="179">
        <v>75380800664.419815</v>
      </c>
      <c r="BE145" s="179">
        <v>48169243831.914116</v>
      </c>
      <c r="BF145" s="179">
        <v>92540964665.557846</v>
      </c>
      <c r="BG145" s="179">
        <v>75351117628.307968</v>
      </c>
      <c r="BH145" s="179">
        <v>57372352562.488808</v>
      </c>
      <c r="BI145" s="179">
        <v>48717506272.698112</v>
      </c>
      <c r="BJ145" s="179">
        <v>49912085228.348671</v>
      </c>
      <c r="BK145" s="179">
        <v>67157451660.27272</v>
      </c>
      <c r="BL145" s="179">
        <v>76686048499.352661</v>
      </c>
      <c r="BM145" s="179">
        <v>69254143968.339767</v>
      </c>
      <c r="BN145" s="179">
        <v>46808208747.275436</v>
      </c>
      <c r="BO145" s="179">
        <v>39798423941.033463</v>
      </c>
      <c r="BP145" s="179">
        <v>45752336035.984558</v>
      </c>
    </row>
    <row r="146" spans="1:68">
      <c r="A146" s="179" t="s">
        <v>416</v>
      </c>
      <c r="B146" s="179">
        <f t="shared" si="2"/>
        <v>0</v>
      </c>
      <c r="C146" s="179" t="s">
        <v>748</v>
      </c>
      <c r="D146" s="179" t="s">
        <v>494</v>
      </c>
      <c r="E146" s="179" t="s">
        <v>495</v>
      </c>
      <c r="P146" s="179">
        <v>90099360.773871034</v>
      </c>
      <c r="Q146" s="179">
        <v>104889791.06320335</v>
      </c>
      <c r="R146" s="179">
        <v>124940289.35653342</v>
      </c>
      <c r="S146" s="179">
        <v>165928864.12726343</v>
      </c>
      <c r="T146" s="179">
        <v>193980464.94721171</v>
      </c>
      <c r="U146" s="179">
        <v>246389070.12371978</v>
      </c>
      <c r="V146" s="179">
        <v>272489336.90486914</v>
      </c>
      <c r="W146" s="179">
        <v>303493119.56494308</v>
      </c>
      <c r="X146" s="179">
        <v>436912067.96755308</v>
      </c>
      <c r="Y146" s="179">
        <v>503173104.66928911</v>
      </c>
      <c r="Z146" s="179">
        <v>534699256.77262425</v>
      </c>
      <c r="AA146" s="179">
        <v>511647837.14685524</v>
      </c>
      <c r="AB146" s="179">
        <v>522096760.52682042</v>
      </c>
      <c r="AC146" s="179">
        <v>524023708.33174914</v>
      </c>
      <c r="AD146" s="179">
        <v>502620920.65653336</v>
      </c>
      <c r="AE146" s="179">
        <v>529073612.45357889</v>
      </c>
      <c r="AF146" s="179">
        <v>779357946.98469985</v>
      </c>
      <c r="AG146" s="179">
        <v>1052849231.319468</v>
      </c>
      <c r="AH146" s="179">
        <v>1161757671.0175631</v>
      </c>
      <c r="AI146" s="179">
        <v>1119983801.2133808</v>
      </c>
      <c r="AJ146" s="179">
        <v>1421508875.2781994</v>
      </c>
      <c r="AK146" s="179">
        <v>1484160643.6946738</v>
      </c>
      <c r="AL146" s="179">
        <v>1631176646.6591287</v>
      </c>
      <c r="AM146" s="179">
        <v>1673085618.3424082</v>
      </c>
      <c r="AN146" s="179">
        <v>1948128910.5555525</v>
      </c>
      <c r="AO146" s="179">
        <v>2428524711.5575957</v>
      </c>
      <c r="AP146" s="179">
        <v>2504012993.4223833</v>
      </c>
      <c r="AQ146" s="179">
        <v>2298390594.7202964</v>
      </c>
      <c r="AR146" s="179">
        <v>2479698575.8118057</v>
      </c>
      <c r="AS146" s="179">
        <v>2664105901.1886258</v>
      </c>
      <c r="AT146" s="179">
        <v>2483890593.705452</v>
      </c>
      <c r="AU146" s="179">
        <v>2491800558.7767353</v>
      </c>
      <c r="AV146" s="179">
        <v>2688617884.8748002</v>
      </c>
      <c r="AW146" s="179">
        <v>3070803439.0770769</v>
      </c>
      <c r="AX146" s="179">
        <v>3454374269.9965467</v>
      </c>
      <c r="AY146" s="179">
        <v>3659320086.6829605</v>
      </c>
      <c r="AZ146" s="179">
        <v>4000101033.3563762</v>
      </c>
      <c r="BA146" s="179">
        <v>4601430548.885251</v>
      </c>
      <c r="BB146" s="179">
        <v>5081479840.0871572</v>
      </c>
      <c r="BC146" s="179">
        <v>4504376589.9239044</v>
      </c>
      <c r="BD146" s="179">
        <v>5082338964.8730526</v>
      </c>
      <c r="BE146" s="179">
        <v>5739705822.4816866</v>
      </c>
      <c r="BF146" s="179">
        <v>5456099685.1858158</v>
      </c>
      <c r="BG146" s="179">
        <v>6391711429.2314634</v>
      </c>
      <c r="BH146" s="179">
        <v>6657526636.1173115</v>
      </c>
      <c r="BI146" s="179">
        <v>6268513139.702879</v>
      </c>
      <c r="BJ146" s="179">
        <v>6237299538.029336</v>
      </c>
      <c r="BK146" s="179">
        <v>6474310909.5063581</v>
      </c>
      <c r="BL146" s="179">
        <v>6692618410.5125036</v>
      </c>
      <c r="BM146" s="179">
        <v>6436467007.119318</v>
      </c>
      <c r="BN146" s="179">
        <v>6405765970.4778023</v>
      </c>
      <c r="BO146" s="179">
        <v>7186428783.1189642</v>
      </c>
    </row>
    <row r="147" spans="1:68">
      <c r="A147" s="179" t="s">
        <v>759</v>
      </c>
      <c r="B147" s="179">
        <f t="shared" si="2"/>
        <v>1</v>
      </c>
      <c r="C147" s="179" t="s">
        <v>760</v>
      </c>
      <c r="D147" s="179" t="s">
        <v>494</v>
      </c>
      <c r="E147" s="179" t="s">
        <v>495</v>
      </c>
      <c r="AO147" s="179">
        <v>7867140395.3370495</v>
      </c>
      <c r="AP147" s="179">
        <v>8382519637.4622355</v>
      </c>
      <c r="AQ147" s="179">
        <v>10118631851.532152</v>
      </c>
      <c r="AR147" s="179">
        <v>11239547690.979713</v>
      </c>
      <c r="AS147" s="179">
        <v>10971583944.756149</v>
      </c>
      <c r="AT147" s="179">
        <v>11524776866.637894</v>
      </c>
      <c r="AU147" s="179">
        <v>12237388001.72637</v>
      </c>
      <c r="AV147" s="179">
        <v>14259781159.011929</v>
      </c>
      <c r="AW147" s="179">
        <v>18781721376.198536</v>
      </c>
      <c r="AX147" s="179">
        <v>22627507451.564827</v>
      </c>
      <c r="AY147" s="179">
        <v>26097677571.837296</v>
      </c>
      <c r="AZ147" s="179">
        <v>30183575103.526161</v>
      </c>
      <c r="BA147" s="179">
        <v>39697891351.943077</v>
      </c>
      <c r="BB147" s="179">
        <v>47797551587.882332</v>
      </c>
      <c r="BC147" s="179">
        <v>37388122046.149567</v>
      </c>
      <c r="BD147" s="179">
        <v>37128694028.242989</v>
      </c>
      <c r="BE147" s="179">
        <v>43535051482.386894</v>
      </c>
      <c r="BF147" s="179">
        <v>42927454291.477997</v>
      </c>
      <c r="BG147" s="179">
        <v>46523420074.437225</v>
      </c>
      <c r="BH147" s="179">
        <v>48533659592.172791</v>
      </c>
      <c r="BI147" s="179">
        <v>41435533340.38826</v>
      </c>
      <c r="BJ147" s="179">
        <v>43047309305.73748</v>
      </c>
      <c r="BK147" s="179">
        <v>47758736931.78051</v>
      </c>
      <c r="BL147" s="179">
        <v>53751411409.44371</v>
      </c>
      <c r="BM147" s="179">
        <v>54760617012.91658</v>
      </c>
      <c r="BN147" s="179">
        <v>56914826860.691788</v>
      </c>
      <c r="BO147" s="179">
        <v>66414994991.793503</v>
      </c>
      <c r="BP147" s="179">
        <v>70334299008.379654</v>
      </c>
    </row>
    <row r="148" spans="1:68">
      <c r="A148" s="179" t="s">
        <v>753</v>
      </c>
      <c r="B148" s="179">
        <f t="shared" si="2"/>
        <v>0</v>
      </c>
      <c r="C148" s="179" t="s">
        <v>754</v>
      </c>
      <c r="D148" s="179" t="s">
        <v>494</v>
      </c>
      <c r="E148" s="179" t="s">
        <v>495</v>
      </c>
      <c r="F148" s="179">
        <v>328460411085.23096</v>
      </c>
      <c r="G148" s="179">
        <v>325549054205.9046</v>
      </c>
      <c r="H148" s="179">
        <v>334089795902.26257</v>
      </c>
      <c r="I148" s="179">
        <v>361346791000.70697</v>
      </c>
      <c r="J148" s="179">
        <v>404761663132.83478</v>
      </c>
      <c r="K148" s="179">
        <v>447569924976.6214</v>
      </c>
      <c r="L148" s="179">
        <v>464111355231.45258</v>
      </c>
      <c r="M148" s="179">
        <v>475529679883.88226</v>
      </c>
      <c r="N148" s="179">
        <v>502151386401.70404</v>
      </c>
      <c r="O148" s="179">
        <v>561543483498.25598</v>
      </c>
      <c r="P148" s="179">
        <v>616281204931.79663</v>
      </c>
      <c r="Q148" s="179">
        <v>663112078289.55225</v>
      </c>
      <c r="R148" s="179">
        <v>742014297845.5481</v>
      </c>
      <c r="S148" s="179">
        <v>946087039548.57446</v>
      </c>
      <c r="T148" s="179">
        <v>1199867355110.2488</v>
      </c>
      <c r="U148" s="179">
        <v>1328202014396.5051</v>
      </c>
      <c r="V148" s="179">
        <v>1426391221074.4604</v>
      </c>
      <c r="W148" s="179">
        <v>1602568048403.583</v>
      </c>
      <c r="X148" s="179">
        <v>1781918482843.5457</v>
      </c>
      <c r="Y148" s="179">
        <v>2063662372115.5891</v>
      </c>
      <c r="Z148" s="179">
        <v>2431398652800.5557</v>
      </c>
      <c r="AA148" s="179">
        <v>2730636435848.5107</v>
      </c>
      <c r="AB148" s="179">
        <v>2691172713846.3447</v>
      </c>
      <c r="AC148" s="179">
        <v>2600394883336.0996</v>
      </c>
      <c r="AD148" s="179">
        <v>2677911888320.8984</v>
      </c>
      <c r="AE148" s="179">
        <v>2775874534098.3691</v>
      </c>
      <c r="AF148" s="179">
        <v>2891559004748.6719</v>
      </c>
      <c r="AG148" s="179">
        <v>3007726506256.3081</v>
      </c>
      <c r="AH148" s="179">
        <v>3180356207103.7251</v>
      </c>
      <c r="AI148" s="179">
        <v>3321322715298.6309</v>
      </c>
      <c r="AJ148" s="179">
        <v>3826579677452.6602</v>
      </c>
      <c r="AK148" s="179">
        <v>3697670722944.6128</v>
      </c>
      <c r="AL148" s="179">
        <v>3819310056693.5107</v>
      </c>
      <c r="AM148" s="179">
        <v>4078054469337.4834</v>
      </c>
      <c r="AN148" s="179">
        <v>4409141222652.7754</v>
      </c>
      <c r="AO148" s="179">
        <v>4950449206237.6338</v>
      </c>
      <c r="AP148" s="179">
        <v>5428042349965.1045</v>
      </c>
      <c r="AQ148" s="179">
        <v>5746357231856.665</v>
      </c>
      <c r="AR148" s="179">
        <v>5566939484996.4131</v>
      </c>
      <c r="AS148" s="179">
        <v>5452082318949.5762</v>
      </c>
      <c r="AT148" s="179">
        <v>5957805404623.1328</v>
      </c>
      <c r="AU148" s="179">
        <v>6012683195857.0322</v>
      </c>
      <c r="AV148" s="179">
        <v>6164611646170.8594</v>
      </c>
      <c r="AW148" s="179">
        <v>6945043770585.4443</v>
      </c>
      <c r="AX148" s="179">
        <v>8241824349157.0898</v>
      </c>
      <c r="AY148" s="179">
        <v>9810101604943.6562</v>
      </c>
      <c r="AZ148" s="179">
        <v>11639461030836.984</v>
      </c>
      <c r="BA148" s="179">
        <v>14370508850888.748</v>
      </c>
      <c r="BB148" s="179">
        <v>17192974516974.99</v>
      </c>
      <c r="BC148" s="179">
        <v>16816751222178.822</v>
      </c>
      <c r="BD148" s="179">
        <v>20465368009772.57</v>
      </c>
      <c r="BE148" s="179">
        <v>24151876656634.207</v>
      </c>
      <c r="BF148" s="179">
        <v>25698108062037.797</v>
      </c>
      <c r="BG148" s="179">
        <v>27210105126960.844</v>
      </c>
      <c r="BH148" s="179">
        <v>28140117982872.941</v>
      </c>
      <c r="BI148" s="179">
        <v>26681765753333.848</v>
      </c>
      <c r="BJ148" s="179">
        <v>26916084709959.262</v>
      </c>
      <c r="BK148" s="179">
        <v>29590502584084.77</v>
      </c>
      <c r="BL148" s="179">
        <v>31364367229265.609</v>
      </c>
      <c r="BM148" s="179">
        <v>32110421084434.422</v>
      </c>
      <c r="BN148" s="179">
        <v>30983506895431.5</v>
      </c>
      <c r="BO148" s="179">
        <v>36537287030968.562</v>
      </c>
      <c r="BP148" s="179">
        <v>38687654409587.609</v>
      </c>
    </row>
    <row r="149" spans="1:68">
      <c r="A149" s="179" t="s">
        <v>746</v>
      </c>
      <c r="B149" s="179">
        <f t="shared" si="2"/>
        <v>0</v>
      </c>
      <c r="C149" s="179" t="s">
        <v>747</v>
      </c>
      <c r="D149" s="179" t="s">
        <v>494</v>
      </c>
      <c r="E149" s="179" t="s">
        <v>495</v>
      </c>
      <c r="Z149" s="179">
        <v>79273100613.319473</v>
      </c>
      <c r="AA149" s="179">
        <v>82152079439.370117</v>
      </c>
      <c r="AB149" s="179">
        <v>83082665445.089569</v>
      </c>
      <c r="AC149" s="179">
        <v>80808247585.444794</v>
      </c>
      <c r="AD149" s="179">
        <v>79897230355.153885</v>
      </c>
      <c r="AE149" s="179">
        <v>80959127303.036499</v>
      </c>
      <c r="AF149" s="179">
        <v>93711044717.62384</v>
      </c>
      <c r="AG149" s="179">
        <v>108569520029.56798</v>
      </c>
      <c r="AH149" s="179">
        <v>96499580054.631363</v>
      </c>
      <c r="AI149" s="179">
        <v>106972330651.24384</v>
      </c>
      <c r="AJ149" s="179">
        <v>133152119892.90662</v>
      </c>
      <c r="AK149" s="179">
        <v>150296897634.33167</v>
      </c>
      <c r="AL149" s="179">
        <v>109064524068.69786</v>
      </c>
      <c r="AM149" s="179">
        <v>114396664382.04938</v>
      </c>
      <c r="AN149" s="179">
        <v>112060501889.70152</v>
      </c>
      <c r="AO149" s="179">
        <v>126699296198.00383</v>
      </c>
      <c r="AP149" s="179">
        <v>141129843390.56238</v>
      </c>
      <c r="AQ149" s="179">
        <v>152153404915.86667</v>
      </c>
      <c r="AR149" s="179">
        <v>155897783697.89679</v>
      </c>
      <c r="AS149" s="179">
        <v>158734615370.08636</v>
      </c>
      <c r="AT149" s="179">
        <v>186507132817.43726</v>
      </c>
      <c r="AU149" s="179">
        <v>186458183385.33914</v>
      </c>
      <c r="AV149" s="179">
        <v>200866631978.46188</v>
      </c>
      <c r="AW149" s="179">
        <v>219319364793.51355</v>
      </c>
      <c r="AX149" s="179">
        <v>257456872752.60886</v>
      </c>
      <c r="AY149" s="179">
        <v>308114007902.30573</v>
      </c>
      <c r="AZ149" s="179">
        <v>356075978932.66705</v>
      </c>
      <c r="BA149" s="179">
        <v>427293203252.47888</v>
      </c>
      <c r="BB149" s="179">
        <v>512642412198.41449</v>
      </c>
      <c r="BC149" s="179">
        <v>526007753879.31049</v>
      </c>
      <c r="BD149" s="179">
        <v>591637362905.2002</v>
      </c>
      <c r="BE149" s="179">
        <v>430766376180.91699</v>
      </c>
      <c r="BF149" s="179">
        <v>408599413746.52887</v>
      </c>
      <c r="BG149" s="179">
        <v>416884104097.29559</v>
      </c>
      <c r="BH149" s="179">
        <v>448530521691.19739</v>
      </c>
      <c r="BI149" s="179">
        <v>449577756120.78149</v>
      </c>
      <c r="BJ149" s="179">
        <v>444439642488.11084</v>
      </c>
      <c r="BK149" s="179">
        <v>491499092098.70868</v>
      </c>
      <c r="BL149" s="179">
        <v>415816146816.48981</v>
      </c>
      <c r="BM149" s="179">
        <v>442286990942.08105</v>
      </c>
      <c r="BN149" s="179">
        <v>436035519309.05969</v>
      </c>
      <c r="BO149" s="179">
        <v>467876851996.68048</v>
      </c>
      <c r="BP149" s="179">
        <v>521634375508.57831</v>
      </c>
    </row>
    <row r="150" spans="1:68">
      <c r="A150" s="179" t="s">
        <v>751</v>
      </c>
      <c r="B150" s="179">
        <f t="shared" si="2"/>
        <v>0</v>
      </c>
      <c r="C150" s="179" t="s">
        <v>752</v>
      </c>
      <c r="D150" s="179" t="s">
        <v>494</v>
      </c>
      <c r="E150" s="179" t="s">
        <v>495</v>
      </c>
      <c r="F150" s="179">
        <v>88132926255.98439</v>
      </c>
      <c r="G150" s="179">
        <v>93268101022.508698</v>
      </c>
      <c r="H150" s="179">
        <v>94753315348.15657</v>
      </c>
      <c r="I150" s="179">
        <v>105425780799.22087</v>
      </c>
      <c r="J150" s="179">
        <v>118413401901.66971</v>
      </c>
      <c r="K150" s="179">
        <v>127851800754.59085</v>
      </c>
      <c r="L150" s="179">
        <v>117578193580.32446</v>
      </c>
      <c r="M150" s="179">
        <v>125596732205.05663</v>
      </c>
      <c r="N150" s="179">
        <v>134304853998.19078</v>
      </c>
      <c r="O150" s="179">
        <v>148999995284.72397</v>
      </c>
      <c r="P150" s="179">
        <v>164717108993.53555</v>
      </c>
      <c r="Q150" s="179">
        <v>173885669458.29095</v>
      </c>
      <c r="R150" s="179">
        <v>188492876223.36099</v>
      </c>
      <c r="S150" s="179">
        <v>229847388939.66199</v>
      </c>
      <c r="T150" s="179">
        <v>301181598425.33978</v>
      </c>
      <c r="U150" s="179">
        <v>332573013999.11493</v>
      </c>
      <c r="V150" s="179">
        <v>366594522953.83087</v>
      </c>
      <c r="W150" s="179">
        <v>418185902076.75507</v>
      </c>
      <c r="X150" s="179">
        <v>460594088379.21686</v>
      </c>
      <c r="Y150" s="179">
        <v>538549797506.08881</v>
      </c>
      <c r="Z150" s="179">
        <v>643335562350.07251</v>
      </c>
      <c r="AA150" s="179">
        <v>776012683487.32031</v>
      </c>
      <c r="AB150" s="179">
        <v>796818086583.59509</v>
      </c>
      <c r="AC150" s="179">
        <v>796475352892.60181</v>
      </c>
      <c r="AD150" s="179">
        <v>780993433162.38403</v>
      </c>
      <c r="AE150" s="179">
        <v>836784764508.3938</v>
      </c>
      <c r="AF150" s="179">
        <v>902375564002.8396</v>
      </c>
      <c r="AG150" s="179">
        <v>886692535665.64331</v>
      </c>
      <c r="AH150" s="179">
        <v>896894243934.22388</v>
      </c>
      <c r="AI150" s="179">
        <v>884736574447.04382</v>
      </c>
      <c r="AJ150" s="179">
        <v>948098011389.76526</v>
      </c>
      <c r="AK150" s="179">
        <v>881412281443.79517</v>
      </c>
      <c r="AL150" s="179">
        <v>923357143412.34949</v>
      </c>
      <c r="AM150" s="179">
        <v>897000718772.0144</v>
      </c>
      <c r="AN150" s="179">
        <v>952834991834.09473</v>
      </c>
      <c r="AO150" s="179">
        <v>1080682109013.7697</v>
      </c>
      <c r="AP150" s="179">
        <v>1206368113838.5388</v>
      </c>
      <c r="AQ150" s="179">
        <v>1250994289523.6702</v>
      </c>
      <c r="AR150" s="179">
        <v>1247921706311.4746</v>
      </c>
      <c r="AS150" s="179">
        <v>1309601706378.8369</v>
      </c>
      <c r="AT150" s="179">
        <v>1358443640078.6094</v>
      </c>
      <c r="AU150" s="179">
        <v>1397363668383.9685</v>
      </c>
      <c r="AV150" s="179">
        <v>1471118317178.7839</v>
      </c>
      <c r="AW150" s="179">
        <v>1679995095258.5596</v>
      </c>
      <c r="AX150" s="179">
        <v>1962071316276.5471</v>
      </c>
      <c r="AY150" s="179">
        <v>2288548759444.8208</v>
      </c>
      <c r="AZ150" s="179">
        <v>2691387582865.3101</v>
      </c>
      <c r="BA150" s="179">
        <v>3319083827275.0918</v>
      </c>
      <c r="BB150" s="179">
        <v>3741331283478.2583</v>
      </c>
      <c r="BC150" s="179">
        <v>3785725583242.6733</v>
      </c>
      <c r="BD150" s="179">
        <v>4533254174586.709</v>
      </c>
      <c r="BE150" s="179">
        <v>5187185590945.9014</v>
      </c>
      <c r="BF150" s="179">
        <v>5461792142964.6006</v>
      </c>
      <c r="BG150" s="179">
        <v>5578818648329.0801</v>
      </c>
      <c r="BH150" s="179">
        <v>5868162623218.5791</v>
      </c>
      <c r="BI150" s="179">
        <v>5716557622624.5605</v>
      </c>
      <c r="BJ150" s="179">
        <v>5997917461749.3994</v>
      </c>
      <c r="BK150" s="179">
        <v>6447085710234.6602</v>
      </c>
      <c r="BL150" s="179">
        <v>6606760498754.6543</v>
      </c>
      <c r="BM150" s="179">
        <v>6874526773448.2471</v>
      </c>
      <c r="BN150" s="179">
        <v>6619062047763.5381</v>
      </c>
      <c r="BO150" s="179">
        <v>7592013359834.7236</v>
      </c>
      <c r="BP150" s="179">
        <v>8109649831658.54</v>
      </c>
    </row>
    <row r="151" spans="1:68">
      <c r="A151" s="179" t="s">
        <v>86</v>
      </c>
      <c r="B151" s="179">
        <f t="shared" si="2"/>
        <v>1</v>
      </c>
      <c r="C151" s="179" t="s">
        <v>761</v>
      </c>
      <c r="D151" s="179" t="s">
        <v>494</v>
      </c>
      <c r="E151" s="179" t="s">
        <v>495</v>
      </c>
      <c r="F151" s="179">
        <v>703925705.94295776</v>
      </c>
      <c r="G151" s="179">
        <v>704145671.35021305</v>
      </c>
      <c r="H151" s="179">
        <v>741509480.7962842</v>
      </c>
      <c r="I151" s="179">
        <v>791140595.77275527</v>
      </c>
      <c r="J151" s="179">
        <v>903158753.94362235</v>
      </c>
      <c r="K151" s="179">
        <v>921600736.30402601</v>
      </c>
      <c r="L151" s="179">
        <v>968440149.47095072</v>
      </c>
      <c r="M151" s="179">
        <v>974721762.53532672</v>
      </c>
      <c r="N151" s="179">
        <v>1066447130.8205178</v>
      </c>
      <c r="O151" s="179">
        <v>1234878980.5019953</v>
      </c>
      <c r="P151" s="179">
        <v>1457768455.0221863</v>
      </c>
      <c r="Q151" s="179">
        <v>1518773421.3784564</v>
      </c>
      <c r="R151" s="179">
        <v>1901697369.626982</v>
      </c>
      <c r="S151" s="179">
        <v>2609875802.1113644</v>
      </c>
      <c r="T151" s="179">
        <v>3183637116.8185582</v>
      </c>
      <c r="U151" s="179">
        <v>3123333333.3333335</v>
      </c>
      <c r="V151" s="179">
        <v>3423586206.8965521</v>
      </c>
      <c r="W151" s="179">
        <v>3789321328.0810356</v>
      </c>
      <c r="X151" s="179">
        <v>4718539771.9994879</v>
      </c>
      <c r="Y151" s="179">
        <v>5516982663.7314253</v>
      </c>
      <c r="Z151" s="179">
        <v>6019805490.4124708</v>
      </c>
      <c r="AA151" s="179">
        <v>5053665797.4793568</v>
      </c>
      <c r="AB151" s="179">
        <v>4602316793.219142</v>
      </c>
      <c r="AC151" s="179">
        <v>4524217751.47929</v>
      </c>
      <c r="AD151" s="179">
        <v>4438435492.8790846</v>
      </c>
      <c r="AE151" s="179">
        <v>4577211767.1037436</v>
      </c>
      <c r="AF151" s="179">
        <v>6685595087.5925598</v>
      </c>
      <c r="AG151" s="179">
        <v>8320902215.0189085</v>
      </c>
      <c r="AH151" s="179">
        <v>9418167855.1837635</v>
      </c>
      <c r="AI151" s="179">
        <v>10037674037.674038</v>
      </c>
      <c r="AJ151" s="179">
        <v>12778792853.693867</v>
      </c>
      <c r="AK151" s="179">
        <v>13834219728.292971</v>
      </c>
      <c r="AL151" s="179">
        <v>15518702634.880802</v>
      </c>
      <c r="AM151" s="179">
        <v>15925521222.014925</v>
      </c>
      <c r="AN151" s="179">
        <v>17701798890.764408</v>
      </c>
      <c r="AO151" s="179">
        <v>20853093869.7318</v>
      </c>
      <c r="AP151" s="179">
        <v>20895314657.980457</v>
      </c>
      <c r="AQ151" s="179">
        <v>19563836265.223274</v>
      </c>
      <c r="AR151" s="179">
        <v>20150053345.187817</v>
      </c>
      <c r="AS151" s="179">
        <v>21899317598.841362</v>
      </c>
      <c r="AT151" s="179">
        <v>21230182989.303574</v>
      </c>
      <c r="AU151" s="179">
        <v>21387533703.232704</v>
      </c>
      <c r="AV151" s="179">
        <v>23649833332.165531</v>
      </c>
      <c r="AW151" s="179">
        <v>29667268248.130527</v>
      </c>
      <c r="AX151" s="179">
        <v>35064843792.899323</v>
      </c>
      <c r="AY151" s="179">
        <v>37672280120.479362</v>
      </c>
      <c r="AZ151" s="179">
        <v>42910146296.064644</v>
      </c>
      <c r="BA151" s="179">
        <v>51587401415.787224</v>
      </c>
      <c r="BB151" s="179">
        <v>58844277701.525764</v>
      </c>
      <c r="BC151" s="179">
        <v>54467289897.558167</v>
      </c>
      <c r="BD151" s="179">
        <v>56213985987.418114</v>
      </c>
      <c r="BE151" s="179">
        <v>61696281326.245689</v>
      </c>
      <c r="BF151" s="179">
        <v>59776383527.360168</v>
      </c>
      <c r="BG151" s="179">
        <v>65203276466.976784</v>
      </c>
      <c r="BH151" s="179">
        <v>68804811897.643372</v>
      </c>
      <c r="BI151" s="179">
        <v>60071584216.137466</v>
      </c>
      <c r="BJ151" s="179">
        <v>62216885435.950508</v>
      </c>
      <c r="BK151" s="179">
        <v>65712180342.984238</v>
      </c>
      <c r="BL151" s="179">
        <v>71000359760.459854</v>
      </c>
      <c r="BM151" s="179">
        <v>69825641851.010406</v>
      </c>
      <c r="BN151" s="179">
        <v>73992591285.301666</v>
      </c>
      <c r="BO151" s="179">
        <v>85506243833.78157</v>
      </c>
      <c r="BP151" s="179">
        <v>82274812250.91861</v>
      </c>
    </row>
    <row r="152" spans="1:68">
      <c r="A152" s="179" t="s">
        <v>764</v>
      </c>
      <c r="B152" s="179">
        <f t="shared" si="2"/>
        <v>0</v>
      </c>
      <c r="C152" s="179" t="s">
        <v>765</v>
      </c>
      <c r="D152" s="179" t="s">
        <v>494</v>
      </c>
      <c r="E152" s="179" t="s">
        <v>495</v>
      </c>
      <c r="AB152" s="179">
        <v>1142497657.7623475</v>
      </c>
      <c r="AC152" s="179">
        <v>1133013285.7995324</v>
      </c>
      <c r="AD152" s="179">
        <v>1304361353.2702372</v>
      </c>
      <c r="AE152" s="179">
        <v>1362072216.7063768</v>
      </c>
      <c r="AF152" s="179">
        <v>1532105006.4529285</v>
      </c>
      <c r="AG152" s="179">
        <v>1957724747.8872266</v>
      </c>
      <c r="AH152" s="179">
        <v>2288761917.3962107</v>
      </c>
      <c r="AI152" s="179">
        <v>2705665379.7561588</v>
      </c>
      <c r="AJ152" s="179">
        <v>3246481368.1600037</v>
      </c>
      <c r="AK152" s="179">
        <v>3765249711.0909824</v>
      </c>
      <c r="AL152" s="179">
        <v>4914365394.5254459</v>
      </c>
      <c r="AM152" s="179">
        <v>5665606114.8031702</v>
      </c>
      <c r="AN152" s="179">
        <v>6311207515.6453838</v>
      </c>
      <c r="AO152" s="179">
        <v>7046147442.1392078</v>
      </c>
      <c r="AP152" s="179">
        <v>7176892950.3916445</v>
      </c>
      <c r="AQ152" s="179">
        <v>7267571196.4557171</v>
      </c>
      <c r="AR152" s="179">
        <v>6797792474.1919155</v>
      </c>
      <c r="AS152" s="179">
        <v>6547670439.2599955</v>
      </c>
      <c r="AT152" s="179">
        <v>6774193548.3870964</v>
      </c>
      <c r="AU152" s="179">
        <v>6860272608.4521065</v>
      </c>
      <c r="AV152" s="179">
        <v>7371692468.558486</v>
      </c>
      <c r="AW152" s="179">
        <v>8246479394.595767</v>
      </c>
      <c r="AX152" s="179">
        <v>10643253442.623232</v>
      </c>
      <c r="AY152" s="179">
        <v>12160056754.837261</v>
      </c>
      <c r="AZ152" s="179">
        <v>14874098382.086336</v>
      </c>
      <c r="BA152" s="179">
        <v>18439981803.634697</v>
      </c>
      <c r="BB152" s="179">
        <v>21027018551.148487</v>
      </c>
      <c r="BC152" s="179">
        <v>21587786004.588188</v>
      </c>
      <c r="BD152" s="179">
        <v>28241799668.008648</v>
      </c>
      <c r="BE152" s="179">
        <v>36845887225.429634</v>
      </c>
      <c r="BF152" s="179">
        <v>43189724079.766815</v>
      </c>
      <c r="BG152" s="179">
        <v>51536592939.033226</v>
      </c>
      <c r="BH152" s="179">
        <v>54902831793.50177</v>
      </c>
      <c r="BI152" s="179">
        <v>45048188247.645752</v>
      </c>
      <c r="BJ152" s="179">
        <v>45070807279.628799</v>
      </c>
      <c r="BK152" s="179">
        <v>50440935654.007515</v>
      </c>
      <c r="BL152" s="179">
        <v>55284309690.269791</v>
      </c>
      <c r="BM152" s="179">
        <v>55204960999.588196</v>
      </c>
      <c r="BN152" s="179">
        <v>25459685019.548019</v>
      </c>
      <c r="BO152" s="179">
        <v>30123795336.893147</v>
      </c>
      <c r="BP152" s="179">
        <v>21979475560.621407</v>
      </c>
    </row>
    <row r="153" spans="1:68">
      <c r="A153" s="179" t="s">
        <v>774</v>
      </c>
      <c r="B153" s="179">
        <f t="shared" si="2"/>
        <v>1</v>
      </c>
      <c r="C153" s="179" t="s">
        <v>775</v>
      </c>
      <c r="D153" s="179" t="s">
        <v>494</v>
      </c>
      <c r="E153" s="179" t="s">
        <v>495</v>
      </c>
      <c r="F153" s="179">
        <v>673081724.07596612</v>
      </c>
      <c r="G153" s="179">
        <v>699161943.85673332</v>
      </c>
      <c r="H153" s="179">
        <v>739286906.85116255</v>
      </c>
      <c r="I153" s="179">
        <v>759345862.97092938</v>
      </c>
      <c r="J153" s="179">
        <v>802482182.92376816</v>
      </c>
      <c r="K153" s="179">
        <v>833563472.16191125</v>
      </c>
      <c r="L153" s="179">
        <v>900264583.68772936</v>
      </c>
      <c r="M153" s="179">
        <v>956436931.14184177</v>
      </c>
      <c r="N153" s="179">
        <v>1031669636.3606161</v>
      </c>
      <c r="O153" s="179">
        <v>1056391054.5379362</v>
      </c>
      <c r="P153" s="179">
        <v>1111859569.7706633</v>
      </c>
      <c r="Q153" s="179">
        <v>1199507629.9922199</v>
      </c>
      <c r="R153" s="179">
        <v>1341590681.5859952</v>
      </c>
      <c r="S153" s="179">
        <v>1653062347.3637757</v>
      </c>
      <c r="T153" s="179">
        <v>1917508190.0468938</v>
      </c>
      <c r="U153" s="179">
        <v>2283049233.2858095</v>
      </c>
      <c r="V153" s="179">
        <v>2181844193.9238834</v>
      </c>
      <c r="W153" s="179">
        <v>2358930406.4289641</v>
      </c>
      <c r="X153" s="179">
        <v>2669755115.5037217</v>
      </c>
      <c r="Y153" s="179">
        <v>3463565881.4221516</v>
      </c>
      <c r="Z153" s="179">
        <v>5201818348.9272699</v>
      </c>
      <c r="AA153" s="179">
        <v>4759333969.832757</v>
      </c>
      <c r="AB153" s="179">
        <v>4784977348.9318695</v>
      </c>
      <c r="AC153" s="179">
        <v>4686457013.0812988</v>
      </c>
      <c r="AD153" s="179">
        <v>3905938480.8611917</v>
      </c>
      <c r="AE153" s="179">
        <v>3802557894.8719015</v>
      </c>
      <c r="AF153" s="179">
        <v>4347989798.8070498</v>
      </c>
      <c r="AG153" s="179">
        <v>3212900560.8172941</v>
      </c>
      <c r="AH153" s="179">
        <v>3189456961.270412</v>
      </c>
      <c r="AI153" s="179">
        <v>3175638332.6447086</v>
      </c>
      <c r="AJ153" s="179">
        <v>3931334870.6285014</v>
      </c>
      <c r="AK153" s="179">
        <v>3254713056.0217071</v>
      </c>
      <c r="AL153" s="179">
        <v>3714966675.0120745</v>
      </c>
      <c r="AM153" s="179">
        <v>4063298919.2868047</v>
      </c>
      <c r="AN153" s="179">
        <v>3522227094.1422267</v>
      </c>
      <c r="AO153" s="179">
        <v>3838100902.2501173</v>
      </c>
      <c r="AP153" s="179">
        <v>4931861036.6836853</v>
      </c>
      <c r="AQ153" s="179">
        <v>4262965421.145586</v>
      </c>
      <c r="AR153" s="179">
        <v>4401967634.0854654</v>
      </c>
      <c r="AS153" s="179">
        <v>4277903780.2913055</v>
      </c>
      <c r="AT153" s="179">
        <v>4629247204.9853001</v>
      </c>
      <c r="AU153" s="179">
        <v>5438332600.53228</v>
      </c>
      <c r="AV153" s="179">
        <v>5351701664.7136173</v>
      </c>
      <c r="AW153" s="179">
        <v>6372498891.3811817</v>
      </c>
      <c r="AX153" s="179">
        <v>5064732625.3905439</v>
      </c>
      <c r="AY153" s="179">
        <v>5859269751.6382608</v>
      </c>
      <c r="AZ153" s="179">
        <v>6395712491.7514629</v>
      </c>
      <c r="BA153" s="179">
        <v>8524620890.8803883</v>
      </c>
      <c r="BB153" s="179">
        <v>10725137721.562231</v>
      </c>
      <c r="BC153" s="179">
        <v>9616879407.5947361</v>
      </c>
      <c r="BD153" s="179">
        <v>9982711338.1181374</v>
      </c>
      <c r="BE153" s="179">
        <v>11551819617.627125</v>
      </c>
      <c r="BF153" s="179">
        <v>11578975063.797459</v>
      </c>
      <c r="BG153" s="179">
        <v>12423555457.0352</v>
      </c>
      <c r="BH153" s="179">
        <v>12522957401.039539</v>
      </c>
      <c r="BI153" s="179">
        <v>11323020699.912802</v>
      </c>
      <c r="BJ153" s="179">
        <v>11848613859.527927</v>
      </c>
      <c r="BK153" s="179">
        <v>13176313593.550934</v>
      </c>
      <c r="BL153" s="179">
        <v>13760033282.607086</v>
      </c>
      <c r="BM153" s="179">
        <v>14104664677.962736</v>
      </c>
      <c r="BN153" s="179">
        <v>13051441203.447412</v>
      </c>
      <c r="BO153" s="179">
        <v>14554754115.211184</v>
      </c>
      <c r="BP153" s="179">
        <v>14954967604.407259</v>
      </c>
    </row>
    <row r="154" spans="1:68">
      <c r="A154" s="179" t="s">
        <v>806</v>
      </c>
      <c r="B154" s="179">
        <f t="shared" si="2"/>
        <v>1</v>
      </c>
      <c r="C154" s="179" t="s">
        <v>807</v>
      </c>
      <c r="D154" s="179" t="s">
        <v>494</v>
      </c>
      <c r="E154" s="179" t="s">
        <v>495</v>
      </c>
      <c r="Z154" s="179">
        <v>1801157516.2304277</v>
      </c>
      <c r="AA154" s="179">
        <v>1801193743.8828769</v>
      </c>
      <c r="AB154" s="179">
        <v>1717379360.4298704</v>
      </c>
      <c r="AC154" s="179">
        <v>1780147545.9585299</v>
      </c>
      <c r="AD154" s="179">
        <v>1758028656.7457473</v>
      </c>
      <c r="AE154" s="179">
        <v>1646442592.5845459</v>
      </c>
      <c r="AF154" s="179">
        <v>1722585991.0669663</v>
      </c>
      <c r="AG154" s="179">
        <v>1721712198.2569585</v>
      </c>
      <c r="AH154" s="179">
        <v>2008189638.9482024</v>
      </c>
      <c r="AI154" s="179">
        <v>2314204989.7220683</v>
      </c>
      <c r="AJ154" s="179">
        <v>2737088195.9445858</v>
      </c>
      <c r="AK154" s="179">
        <v>3206784402.3811116</v>
      </c>
      <c r="AL154" s="179">
        <v>2618837532.194375</v>
      </c>
      <c r="AM154" s="179">
        <v>3013392429.8558469</v>
      </c>
      <c r="AN154" s="179">
        <v>1719864761.3062811</v>
      </c>
      <c r="AO154" s="179">
        <v>2033701542.3252006</v>
      </c>
      <c r="AP154" s="179">
        <v>3319573821.8937597</v>
      </c>
      <c r="AQ154" s="179">
        <v>3875785863.383234</v>
      </c>
      <c r="AR154" s="179">
        <v>2547609562.7402663</v>
      </c>
      <c r="AS154" s="179">
        <v>2584478943.6010456</v>
      </c>
      <c r="AT154" s="179">
        <v>2537307566.1239352</v>
      </c>
      <c r="AU154" s="179">
        <v>2498008653.1358509</v>
      </c>
      <c r="AV154" s="179">
        <v>5087328437.8736963</v>
      </c>
      <c r="AW154" s="179">
        <v>4669789300.3566208</v>
      </c>
      <c r="AX154" s="179">
        <v>5058726350.4889584</v>
      </c>
      <c r="AY154" s="179">
        <v>5320409651.4754362</v>
      </c>
      <c r="AZ154" s="179">
        <v>5818279739.1435413</v>
      </c>
      <c r="BA154" s="179">
        <v>6451210219.1168308</v>
      </c>
      <c r="BB154" s="179">
        <v>7743617352.2142696</v>
      </c>
      <c r="BC154" s="179">
        <v>9009887946.8203945</v>
      </c>
      <c r="BD154" s="179">
        <v>10128323010.604923</v>
      </c>
      <c r="BE154" s="179">
        <v>11648142958.365147</v>
      </c>
      <c r="BF154" s="179">
        <v>8773203178.1651192</v>
      </c>
      <c r="BG154" s="179">
        <v>8031571927.6205492</v>
      </c>
      <c r="BH154" s="179">
        <v>8801326169.1454697</v>
      </c>
      <c r="BI154" s="179">
        <v>9219474373.1641846</v>
      </c>
      <c r="BJ154" s="179">
        <v>7909868618.4636602</v>
      </c>
      <c r="BK154" s="179">
        <v>8943543677.1889935</v>
      </c>
      <c r="BL154" s="179">
        <v>9880675785.9305706</v>
      </c>
      <c r="BM154" s="179">
        <v>11025371147.187582</v>
      </c>
      <c r="BN154" s="179">
        <v>12056108780.207331</v>
      </c>
      <c r="BO154" s="179">
        <v>12602334123.763706</v>
      </c>
      <c r="BP154" s="179">
        <v>13164667626.9363</v>
      </c>
    </row>
    <row r="155" spans="1:68">
      <c r="A155" s="179" t="s">
        <v>808</v>
      </c>
      <c r="B155" s="179">
        <f t="shared" si="2"/>
        <v>0</v>
      </c>
      <c r="C155" s="179" t="s">
        <v>809</v>
      </c>
      <c r="D155" s="179" t="s">
        <v>494</v>
      </c>
      <c r="E155" s="179" t="s">
        <v>495</v>
      </c>
      <c r="F155" s="179">
        <v>1916229475.8463061</v>
      </c>
      <c r="G155" s="179">
        <v>1901856121.441731</v>
      </c>
      <c r="H155" s="179">
        <v>2001489600.8370812</v>
      </c>
      <c r="I155" s="179">
        <v>2510110346.471704</v>
      </c>
      <c r="J155" s="179">
        <v>2674423920.6876421</v>
      </c>
      <c r="K155" s="179">
        <v>2956337667.3046489</v>
      </c>
      <c r="L155" s="179">
        <v>3143517941.7096834</v>
      </c>
      <c r="M155" s="179">
        <v>3188924674.9423184</v>
      </c>
      <c r="N155" s="179">
        <v>3330371548.9691596</v>
      </c>
      <c r="O155" s="179">
        <v>3664552038.8755307</v>
      </c>
      <c r="P155" s="179">
        <v>3864145664.811789</v>
      </c>
      <c r="Q155" s="179">
        <v>4244395358.101656</v>
      </c>
      <c r="R155" s="179">
        <v>5043347485.9119358</v>
      </c>
      <c r="S155" s="179">
        <v>7662903760.3432331</v>
      </c>
      <c r="T155" s="179">
        <v>9496205619.75383</v>
      </c>
      <c r="U155" s="179">
        <v>9298800799.4670219</v>
      </c>
      <c r="V155" s="179">
        <v>11050234602.248013</v>
      </c>
      <c r="W155" s="179">
        <v>13139486857.958038</v>
      </c>
      <c r="X155" s="179">
        <v>16358082222.899666</v>
      </c>
      <c r="Y155" s="179">
        <v>21213268200.390636</v>
      </c>
      <c r="Z155" s="179">
        <v>24488220937.784504</v>
      </c>
      <c r="AA155" s="179">
        <v>25004285800.829739</v>
      </c>
      <c r="AB155" s="179">
        <v>26804497470.732822</v>
      </c>
      <c r="AC155" s="179">
        <v>30347442121.826355</v>
      </c>
      <c r="AD155" s="179">
        <v>33942902256.945423</v>
      </c>
      <c r="AE155" s="179">
        <v>31199637541.321926</v>
      </c>
      <c r="AF155" s="179">
        <v>27734114980.969898</v>
      </c>
      <c r="AG155" s="179">
        <v>32181205900.582336</v>
      </c>
      <c r="AH155" s="179">
        <v>35272104730.568314</v>
      </c>
      <c r="AI155" s="179">
        <v>38847970073.309273</v>
      </c>
      <c r="AJ155" s="179">
        <v>44024585239.613663</v>
      </c>
      <c r="AK155" s="179">
        <v>49143148094.268257</v>
      </c>
      <c r="AL155" s="179">
        <v>59167550162.955986</v>
      </c>
      <c r="AM155" s="179">
        <v>66894966968.973564</v>
      </c>
      <c r="AN155" s="179">
        <v>74478356957.780823</v>
      </c>
      <c r="AO155" s="179">
        <v>88705342902.711319</v>
      </c>
      <c r="AP155" s="179">
        <v>100855393910.48573</v>
      </c>
      <c r="AQ155" s="179">
        <v>100005323301.8667</v>
      </c>
      <c r="AR155" s="179">
        <v>72167498980.839798</v>
      </c>
      <c r="AS155" s="179">
        <v>79148421052.631577</v>
      </c>
      <c r="AT155" s="179">
        <v>93789736842.10527</v>
      </c>
      <c r="AU155" s="179">
        <v>92783947368.421051</v>
      </c>
      <c r="AV155" s="179">
        <v>100845526315.78947</v>
      </c>
      <c r="AW155" s="179">
        <v>110202368421.05264</v>
      </c>
      <c r="AX155" s="179">
        <v>124749473684.21053</v>
      </c>
      <c r="AY155" s="179">
        <v>143534418452.15424</v>
      </c>
      <c r="AZ155" s="179">
        <v>162692260155.07013</v>
      </c>
      <c r="BA155" s="179">
        <v>193549547954.75284</v>
      </c>
      <c r="BB155" s="179">
        <v>230811591306.52036</v>
      </c>
      <c r="BC155" s="179">
        <v>202257458160.84949</v>
      </c>
      <c r="BD155" s="179">
        <v>255017645207.1796</v>
      </c>
      <c r="BE155" s="179">
        <v>297951667650.44861</v>
      </c>
      <c r="BF155" s="179">
        <v>314443061220.13831</v>
      </c>
      <c r="BG155" s="179">
        <v>323276281683.44061</v>
      </c>
      <c r="BH155" s="179">
        <v>338066121289.41278</v>
      </c>
      <c r="BI155" s="179">
        <v>301354783698.71985</v>
      </c>
      <c r="BJ155" s="179">
        <v>301255332137.07544</v>
      </c>
      <c r="BK155" s="179">
        <v>319109103242.0553</v>
      </c>
      <c r="BL155" s="179">
        <v>358788833524.94489</v>
      </c>
      <c r="BM155" s="179">
        <v>365177744321.01135</v>
      </c>
      <c r="BN155" s="179">
        <v>337339463179.96051</v>
      </c>
      <c r="BO155" s="179">
        <v>372981073017.74945</v>
      </c>
      <c r="BP155" s="179">
        <v>406305924656.07068</v>
      </c>
    </row>
    <row r="156" spans="1:68">
      <c r="A156" s="179" t="s">
        <v>776</v>
      </c>
      <c r="B156" s="179">
        <f t="shared" si="2"/>
        <v>0</v>
      </c>
      <c r="C156" s="179" t="s">
        <v>777</v>
      </c>
      <c r="D156" s="179" t="s">
        <v>494</v>
      </c>
      <c r="E156" s="179" t="s">
        <v>495</v>
      </c>
      <c r="Z156" s="179">
        <v>42463576.164564714</v>
      </c>
      <c r="AA156" s="179">
        <v>44781456.959573701</v>
      </c>
      <c r="AB156" s="179">
        <v>47911342.416418083</v>
      </c>
      <c r="AC156" s="179">
        <v>57829787.242245361</v>
      </c>
      <c r="AD156" s="179">
        <v>109503546.10576268</v>
      </c>
      <c r="AE156" s="179">
        <v>127190757.95998873</v>
      </c>
      <c r="AF156" s="179">
        <v>141882254.23017761</v>
      </c>
      <c r="AG156" s="179">
        <v>141223029.38306406</v>
      </c>
      <c r="AH156" s="179">
        <v>168514513.37507114</v>
      </c>
      <c r="AI156" s="179">
        <v>189514434.24399954</v>
      </c>
      <c r="AJ156" s="179">
        <v>215043969.84924623</v>
      </c>
      <c r="AK156" s="179">
        <v>244396761.92333952</v>
      </c>
      <c r="AL156" s="179">
        <v>284875818.02412587</v>
      </c>
      <c r="AM156" s="179">
        <v>322417837.16197103</v>
      </c>
      <c r="AN156" s="179">
        <v>356014932.13646072</v>
      </c>
      <c r="AO156" s="179">
        <v>398988954.97026342</v>
      </c>
      <c r="AP156" s="179">
        <v>450382327.95242143</v>
      </c>
      <c r="AQ156" s="179">
        <v>508223602.3789295</v>
      </c>
      <c r="AR156" s="179">
        <v>540096397.6210705</v>
      </c>
      <c r="AS156" s="179">
        <v>589239753.61087513</v>
      </c>
      <c r="AT156" s="179">
        <v>624337145.28462195</v>
      </c>
      <c r="AU156" s="179">
        <v>870031653.10915458</v>
      </c>
      <c r="AV156" s="179">
        <v>897031250</v>
      </c>
      <c r="AW156" s="179">
        <v>1052121054.6875</v>
      </c>
      <c r="AX156" s="179">
        <v>1226829562.5</v>
      </c>
      <c r="AY156" s="179">
        <v>1163362437.5</v>
      </c>
      <c r="AZ156" s="179">
        <v>1575200390.625</v>
      </c>
      <c r="BA156" s="179">
        <v>1868383460.9375</v>
      </c>
      <c r="BB156" s="179">
        <v>2271646187.5</v>
      </c>
      <c r="BC156" s="179">
        <v>2345294875</v>
      </c>
      <c r="BD156" s="179">
        <v>2588176054.6875</v>
      </c>
      <c r="BE156" s="179">
        <v>2774350163.3477278</v>
      </c>
      <c r="BF156" s="179">
        <v>2886163937.7796335</v>
      </c>
      <c r="BG156" s="179">
        <v>3295009231.0073929</v>
      </c>
      <c r="BH156" s="179">
        <v>3697353155.0488272</v>
      </c>
      <c r="BI156" s="179">
        <v>4109416450.2251368</v>
      </c>
      <c r="BJ156" s="179">
        <v>4379134272.942997</v>
      </c>
      <c r="BK156" s="179">
        <v>4754185598.8417006</v>
      </c>
      <c r="BL156" s="179">
        <v>5300949822.9980507</v>
      </c>
      <c r="BM156" s="179">
        <v>5609385433.5919952</v>
      </c>
      <c r="BN156" s="179">
        <v>3746329358.287879</v>
      </c>
      <c r="BO156" s="179">
        <v>5405557161.7379856</v>
      </c>
      <c r="BP156" s="179">
        <v>6189865408.2315845</v>
      </c>
    </row>
    <row r="157" spans="1:68">
      <c r="A157" s="179" t="s">
        <v>788</v>
      </c>
      <c r="B157" s="179">
        <f t="shared" si="2"/>
        <v>1</v>
      </c>
      <c r="C157" s="179" t="s">
        <v>789</v>
      </c>
      <c r="D157" s="179" t="s">
        <v>494</v>
      </c>
      <c r="E157" s="179" t="s">
        <v>495</v>
      </c>
      <c r="M157" s="179">
        <v>275494477.81984043</v>
      </c>
      <c r="N157" s="179">
        <v>343771973.33135653</v>
      </c>
      <c r="O157" s="179">
        <v>339913866.63352269</v>
      </c>
      <c r="P157" s="179">
        <v>359772315.06725597</v>
      </c>
      <c r="Q157" s="179">
        <v>395218629.37233633</v>
      </c>
      <c r="R157" s="179">
        <v>486617279.36226213</v>
      </c>
      <c r="S157" s="179">
        <v>563683703.17009425</v>
      </c>
      <c r="T157" s="179">
        <v>538747340.76666057</v>
      </c>
      <c r="U157" s="179">
        <v>830710613.85733545</v>
      </c>
      <c r="V157" s="179">
        <v>939228016.1980778</v>
      </c>
      <c r="W157" s="179">
        <v>1049838549.9612966</v>
      </c>
      <c r="X157" s="179">
        <v>1222702571.5793076</v>
      </c>
      <c r="Y157" s="179">
        <v>1595422953.6764848</v>
      </c>
      <c r="Z157" s="179">
        <v>1759691182.945966</v>
      </c>
      <c r="AA157" s="179">
        <v>1538972426.913105</v>
      </c>
      <c r="AB157" s="179">
        <v>1333754226.2212319</v>
      </c>
      <c r="AC157" s="179">
        <v>1297765325.8188527</v>
      </c>
      <c r="AD157" s="179">
        <v>1232932104.670928</v>
      </c>
      <c r="AE157" s="179">
        <v>1392196048.8906353</v>
      </c>
      <c r="AF157" s="179">
        <v>1852163455.5359812</v>
      </c>
      <c r="AG157" s="179">
        <v>2090629984.183615</v>
      </c>
      <c r="AH157" s="179">
        <v>2169040604.5092936</v>
      </c>
      <c r="AI157" s="179">
        <v>2181821905.9419599</v>
      </c>
      <c r="AJ157" s="179">
        <v>2681912149.1476669</v>
      </c>
      <c r="AK157" s="179">
        <v>2724131460.1082654</v>
      </c>
      <c r="AL157" s="179">
        <v>2830673380.7974257</v>
      </c>
      <c r="AM157" s="179">
        <v>2818281080.1098428</v>
      </c>
      <c r="AN157" s="179">
        <v>2081846499.0375116</v>
      </c>
      <c r="AO157" s="179">
        <v>2706425157.9290705</v>
      </c>
      <c r="AP157" s="179">
        <v>2780422047.7308464</v>
      </c>
      <c r="AQ157" s="179">
        <v>2697105821.8330727</v>
      </c>
      <c r="AR157" s="179">
        <v>2920358712.648243</v>
      </c>
      <c r="AS157" s="179">
        <v>3440724707.8083382</v>
      </c>
      <c r="AT157" s="179">
        <v>2961484953.7336402</v>
      </c>
      <c r="AU157" s="179">
        <v>3468337941.0883007</v>
      </c>
      <c r="AV157" s="179">
        <v>3908121309.8568058</v>
      </c>
      <c r="AW157" s="179">
        <v>4714071978.2863512</v>
      </c>
      <c r="AX157" s="179">
        <v>5454249122.7138948</v>
      </c>
      <c r="AY157" s="179">
        <v>6247515892.296937</v>
      </c>
      <c r="AZ157" s="179">
        <v>6905934219.2946749</v>
      </c>
      <c r="BA157" s="179">
        <v>8156468818.0086803</v>
      </c>
      <c r="BB157" s="179">
        <v>9838403090.9585896</v>
      </c>
      <c r="BC157" s="179">
        <v>10231962382.784224</v>
      </c>
      <c r="BD157" s="179">
        <v>10689168011.444891</v>
      </c>
      <c r="BE157" s="179">
        <v>12995112698.01017</v>
      </c>
      <c r="BF157" s="179">
        <v>12442035328.035028</v>
      </c>
      <c r="BG157" s="179">
        <v>13242690790.055712</v>
      </c>
      <c r="BH157" s="179">
        <v>14364937127.700232</v>
      </c>
      <c r="BI157" s="179">
        <v>13104764378.711418</v>
      </c>
      <c r="BJ157" s="179">
        <v>14026048334.213051</v>
      </c>
      <c r="BK157" s="179">
        <v>15365713059.105669</v>
      </c>
      <c r="BL157" s="179">
        <v>17070867577.666571</v>
      </c>
      <c r="BM157" s="179">
        <v>17280250805.224545</v>
      </c>
      <c r="BN157" s="179">
        <v>17465392779.036621</v>
      </c>
      <c r="BO157" s="179">
        <v>19309463505.983288</v>
      </c>
      <c r="BP157" s="179">
        <v>18827176532.316879</v>
      </c>
    </row>
    <row r="158" spans="1:68">
      <c r="A158" s="179" t="s">
        <v>407</v>
      </c>
      <c r="B158" s="179">
        <f t="shared" si="2"/>
        <v>1</v>
      </c>
      <c r="C158" s="179" t="s">
        <v>790</v>
      </c>
      <c r="D158" s="179" t="s">
        <v>494</v>
      </c>
      <c r="E158" s="179" t="s">
        <v>495</v>
      </c>
      <c r="P158" s="179">
        <v>250721821.55367813</v>
      </c>
      <c r="Q158" s="179">
        <v>264579879.78487819</v>
      </c>
      <c r="R158" s="179">
        <v>295118249.32493252</v>
      </c>
      <c r="S158" s="179">
        <v>345602025.37539285</v>
      </c>
      <c r="T158" s="179">
        <v>376094108.47533131</v>
      </c>
      <c r="U158" s="179">
        <v>474620439.5849604</v>
      </c>
      <c r="V158" s="179">
        <v>527936988.79127544</v>
      </c>
      <c r="W158" s="179">
        <v>625573345.53217447</v>
      </c>
      <c r="X158" s="179">
        <v>793675169.87857854</v>
      </c>
      <c r="Y158" s="179">
        <v>1001300838.3233533</v>
      </c>
      <c r="Z158" s="179">
        <v>1250242107.8796918</v>
      </c>
      <c r="AA158" s="179">
        <v>1243469360.5683837</v>
      </c>
      <c r="AB158" s="179">
        <v>1234518125</v>
      </c>
      <c r="AC158" s="179">
        <v>1165771369.0062542</v>
      </c>
      <c r="AD158" s="179">
        <v>1101828568.7680416</v>
      </c>
      <c r="AE158" s="179">
        <v>1117835285.5051246</v>
      </c>
      <c r="AF158" s="179">
        <v>1435079200.3495741</v>
      </c>
      <c r="AG158" s="179">
        <v>1751247763.4194832</v>
      </c>
      <c r="AH158" s="179">
        <v>2019474244.1935902</v>
      </c>
      <c r="AI158" s="179">
        <v>2118574772.1113575</v>
      </c>
      <c r="AJ158" s="179">
        <v>2547163582.3314872</v>
      </c>
      <c r="AK158" s="179">
        <v>2750041434.262948</v>
      </c>
      <c r="AL158" s="179">
        <v>3021910216.718266</v>
      </c>
      <c r="AM158" s="179">
        <v>2709178326.7827063</v>
      </c>
      <c r="AN158" s="179">
        <v>2998570146.5409522</v>
      </c>
      <c r="AO158" s="179">
        <v>3461332684.8249025</v>
      </c>
      <c r="AP158" s="179">
        <v>3585755121.4864221</v>
      </c>
      <c r="AQ158" s="179">
        <v>3722389055.7223892</v>
      </c>
      <c r="AR158" s="179">
        <v>3958227428.4451318</v>
      </c>
      <c r="AS158" s="179">
        <v>4155187257.8562202</v>
      </c>
      <c r="AT158" s="179">
        <v>4323339212.2281017</v>
      </c>
      <c r="AU158" s="179">
        <v>4355146427.549366</v>
      </c>
      <c r="AV158" s="179">
        <v>4693495693.4956932</v>
      </c>
      <c r="AW158" s="179">
        <v>5489359280.755662</v>
      </c>
      <c r="AX158" s="179">
        <v>6116591928.2511215</v>
      </c>
      <c r="AY158" s="179">
        <v>6407287650.7897024</v>
      </c>
      <c r="AZ158" s="179">
        <v>6778321415.1298456</v>
      </c>
      <c r="BA158" s="179">
        <v>7925403777.7169447</v>
      </c>
      <c r="BB158" s="179">
        <v>9090376446.4625759</v>
      </c>
      <c r="BC158" s="179">
        <v>8696304529.0358429</v>
      </c>
      <c r="BD158" s="179">
        <v>9035819656.6668987</v>
      </c>
      <c r="BE158" s="179">
        <v>9638733344.3580627</v>
      </c>
      <c r="BF158" s="179">
        <v>9461826174.0234394</v>
      </c>
      <c r="BG158" s="179">
        <v>10550968138.94129</v>
      </c>
      <c r="BH158" s="179">
        <v>11625843213.607616</v>
      </c>
      <c r="BI158" s="179">
        <v>11091467513.710932</v>
      </c>
      <c r="BJ158" s="179">
        <v>11667976402.762997</v>
      </c>
      <c r="BK158" s="179">
        <v>13489296992.000145</v>
      </c>
      <c r="BL158" s="179">
        <v>15298004130.497538</v>
      </c>
      <c r="BM158" s="179">
        <v>15881258056.200928</v>
      </c>
      <c r="BN158" s="179">
        <v>15046136935.481449</v>
      </c>
      <c r="BO158" s="179">
        <v>17743376199.352325</v>
      </c>
      <c r="BP158" s="179">
        <v>17765270014.757099</v>
      </c>
    </row>
    <row r="159" spans="1:68">
      <c r="A159" s="179" t="s">
        <v>782</v>
      </c>
      <c r="B159" s="179">
        <f t="shared" si="2"/>
        <v>0</v>
      </c>
      <c r="C159" s="179" t="s">
        <v>783</v>
      </c>
      <c r="D159" s="179" t="s">
        <v>494</v>
      </c>
      <c r="E159" s="179" t="s">
        <v>495</v>
      </c>
      <c r="AA159" s="179">
        <v>31020000</v>
      </c>
      <c r="AB159" s="179">
        <v>34918000</v>
      </c>
      <c r="AC159" s="179">
        <v>41749000</v>
      </c>
      <c r="AD159" s="179">
        <v>45144000</v>
      </c>
      <c r="AE159" s="179">
        <v>43879000</v>
      </c>
      <c r="AF159" s="179">
        <v>55989000</v>
      </c>
      <c r="AG159" s="179">
        <v>62983000</v>
      </c>
      <c r="AH159" s="179">
        <v>70688000</v>
      </c>
      <c r="AI159" s="179">
        <v>72798000</v>
      </c>
      <c r="AJ159" s="179">
        <v>78476000</v>
      </c>
      <c r="AK159" s="179">
        <v>82507000</v>
      </c>
      <c r="AL159" s="179">
        <v>91063000</v>
      </c>
      <c r="AM159" s="179">
        <v>99461000</v>
      </c>
      <c r="AN159" s="179">
        <v>108071000</v>
      </c>
      <c r="AO159" s="179">
        <v>120230000</v>
      </c>
      <c r="AP159" s="179">
        <v>110858000</v>
      </c>
      <c r="AQ159" s="179">
        <v>110705600</v>
      </c>
      <c r="AR159" s="179">
        <v>112279400</v>
      </c>
      <c r="AS159" s="179">
        <v>114326300</v>
      </c>
      <c r="AT159" s="179">
        <v>115347500</v>
      </c>
      <c r="AU159" s="179">
        <v>122824000</v>
      </c>
      <c r="AV159" s="179">
        <v>131738200</v>
      </c>
      <c r="AW159" s="179">
        <v>131398500.00000001</v>
      </c>
      <c r="AX159" s="179">
        <v>132934599.99999999</v>
      </c>
      <c r="AY159" s="179">
        <v>137666300</v>
      </c>
      <c r="AZ159" s="179">
        <v>142745200</v>
      </c>
      <c r="BA159" s="179">
        <v>149870000</v>
      </c>
      <c r="BB159" s="179">
        <v>145969100</v>
      </c>
      <c r="BC159" s="179">
        <v>150624900</v>
      </c>
      <c r="BD159" s="179">
        <v>160318500</v>
      </c>
      <c r="BE159" s="179">
        <v>171567100</v>
      </c>
      <c r="BF159" s="179">
        <v>179855800</v>
      </c>
      <c r="BG159" s="179">
        <v>185468000</v>
      </c>
      <c r="BH159" s="179">
        <v>185172900</v>
      </c>
      <c r="BI159" s="179">
        <v>182997300</v>
      </c>
      <c r="BJ159" s="179">
        <v>200716000</v>
      </c>
      <c r="BK159" s="179">
        <v>212701200</v>
      </c>
      <c r="BL159" s="179">
        <v>219330300</v>
      </c>
      <c r="BM159" s="179">
        <v>232092300</v>
      </c>
      <c r="BN159" s="179">
        <v>241722400</v>
      </c>
      <c r="BO159" s="179">
        <v>259538700</v>
      </c>
      <c r="BP159" s="179">
        <v>279667900</v>
      </c>
    </row>
    <row r="160" spans="1:68">
      <c r="A160" s="179" t="s">
        <v>802</v>
      </c>
      <c r="B160" s="179">
        <f t="shared" si="2"/>
        <v>2</v>
      </c>
      <c r="C160" s="179" t="s">
        <v>803</v>
      </c>
      <c r="D160" s="179" t="s">
        <v>494</v>
      </c>
      <c r="E160" s="179" t="s">
        <v>495</v>
      </c>
      <c r="G160" s="179">
        <v>159213426.50188747</v>
      </c>
      <c r="H160" s="179">
        <v>164271553.69978344</v>
      </c>
      <c r="I160" s="179">
        <v>168186293.24976212</v>
      </c>
      <c r="J160" s="179">
        <v>224495738.50574243</v>
      </c>
      <c r="K160" s="179">
        <v>255340469.01459602</v>
      </c>
      <c r="L160" s="179">
        <v>266533598.89891919</v>
      </c>
      <c r="M160" s="179">
        <v>282615303.57151914</v>
      </c>
      <c r="N160" s="179">
        <v>311395929.92048967</v>
      </c>
      <c r="O160" s="179">
        <v>295062290.316742</v>
      </c>
      <c r="P160" s="179">
        <v>309405315.75485253</v>
      </c>
      <c r="Q160" s="179">
        <v>335568937.061988</v>
      </c>
      <c r="R160" s="179">
        <v>391669449.25113916</v>
      </c>
      <c r="S160" s="179">
        <v>493237913.17774934</v>
      </c>
      <c r="T160" s="179">
        <v>613010507.41793454</v>
      </c>
      <c r="U160" s="179">
        <v>703377837.46854138</v>
      </c>
      <c r="V160" s="179">
        <v>775045516.86721659</v>
      </c>
      <c r="W160" s="179">
        <v>799029958.72149289</v>
      </c>
      <c r="X160" s="179">
        <v>804629876.76144052</v>
      </c>
      <c r="Y160" s="179">
        <v>951900945.20891201</v>
      </c>
      <c r="Z160" s="179">
        <v>1047925029.5288467</v>
      </c>
      <c r="AA160" s="179">
        <v>1105494605.3731351</v>
      </c>
      <c r="AB160" s="179">
        <v>1108776724.1762304</v>
      </c>
      <c r="AC160" s="179">
        <v>1165171334.2627506</v>
      </c>
      <c r="AD160" s="179">
        <v>1074373174.1633754</v>
      </c>
      <c r="AE160" s="179">
        <v>1009723326.3205649</v>
      </c>
      <c r="AF160" s="179">
        <v>1186628778.5169456</v>
      </c>
      <c r="AG160" s="179">
        <v>1344664663.9926012</v>
      </c>
      <c r="AH160" s="179">
        <v>1414951227.3980496</v>
      </c>
      <c r="AI160" s="179">
        <v>1450647019.1809852</v>
      </c>
      <c r="AJ160" s="179">
        <v>1506914407.8204668</v>
      </c>
      <c r="AK160" s="179">
        <v>2133692609.9557643</v>
      </c>
      <c r="AL160" s="179">
        <v>2164298425.4841185</v>
      </c>
      <c r="AM160" s="179">
        <v>1847353160.3744352</v>
      </c>
      <c r="AN160" s="179">
        <v>1944876755.0070808</v>
      </c>
      <c r="AO160" s="179">
        <v>2091726047.7003946</v>
      </c>
      <c r="AP160" s="179">
        <v>2132087061.0812137</v>
      </c>
      <c r="AQ160" s="179">
        <v>2071996518.570555</v>
      </c>
      <c r="AR160" s="179">
        <v>2032347629.0063748</v>
      </c>
      <c r="AS160" s="179">
        <v>1985922807.1291888</v>
      </c>
      <c r="AT160" s="179">
        <v>1779520861.6432073</v>
      </c>
      <c r="AU160" s="179">
        <v>1746063580.3817358</v>
      </c>
      <c r="AV160" s="179">
        <v>1777057503.0589974</v>
      </c>
      <c r="AW160" s="179">
        <v>2051147606.7368741</v>
      </c>
      <c r="AX160" s="179">
        <v>2362501023.2424912</v>
      </c>
      <c r="AY160" s="179">
        <v>2936019525.6024098</v>
      </c>
      <c r="AZ160" s="179">
        <v>3919577285.9270291</v>
      </c>
      <c r="BA160" s="179">
        <v>4346212411.0549603</v>
      </c>
      <c r="BB160" s="179">
        <v>5206437120.9470978</v>
      </c>
      <c r="BC160" s="179">
        <v>4714595487.8525276</v>
      </c>
      <c r="BD160" s="179">
        <v>5628878865.9902735</v>
      </c>
      <c r="BE160" s="179">
        <v>6764627665.6923914</v>
      </c>
      <c r="BF160" s="179">
        <v>6728208836.2214279</v>
      </c>
      <c r="BG160" s="179">
        <v>7223071177.1585598</v>
      </c>
      <c r="BH160" s="179">
        <v>6592537781.8151789</v>
      </c>
      <c r="BI160" s="179">
        <v>6166863960.0006094</v>
      </c>
      <c r="BJ160" s="179">
        <v>6398741855.7627554</v>
      </c>
      <c r="BK160" s="179">
        <v>6800138755.3459158</v>
      </c>
      <c r="BL160" s="179">
        <v>7473550557.0737848</v>
      </c>
      <c r="BM160" s="179">
        <v>8066118984.3058052</v>
      </c>
      <c r="BN160" s="179">
        <v>8405498735.7429285</v>
      </c>
      <c r="BO160" s="179">
        <v>9996240418.7078381</v>
      </c>
      <c r="BP160" s="179">
        <v>10375460680.436108</v>
      </c>
    </row>
    <row r="161" spans="1:68">
      <c r="A161" s="179" t="s">
        <v>804</v>
      </c>
      <c r="B161" s="179">
        <f t="shared" si="2"/>
        <v>1</v>
      </c>
      <c r="C161" s="179" t="s">
        <v>805</v>
      </c>
      <c r="D161" s="179" t="s">
        <v>494</v>
      </c>
      <c r="E161" s="179" t="s">
        <v>495</v>
      </c>
      <c r="V161" s="179">
        <v>704030891.25671625</v>
      </c>
      <c r="W161" s="179">
        <v>823633426.24245167</v>
      </c>
      <c r="X161" s="179">
        <v>1015369264.0707041</v>
      </c>
      <c r="Y161" s="179">
        <v>1211139631.3281152</v>
      </c>
      <c r="Z161" s="179">
        <v>1131789419.0375543</v>
      </c>
      <c r="AA161" s="179">
        <v>1142388228.182945</v>
      </c>
      <c r="AB161" s="179">
        <v>1078403870.338547</v>
      </c>
      <c r="AC161" s="179">
        <v>1090276947.3130443</v>
      </c>
      <c r="AD161" s="179">
        <v>1040554576.0141284</v>
      </c>
      <c r="AE161" s="179">
        <v>1076122255.8232312</v>
      </c>
      <c r="AF161" s="179">
        <v>1462904781.8545387</v>
      </c>
      <c r="AG161" s="179">
        <v>1880850480.074229</v>
      </c>
      <c r="AH161" s="179">
        <v>2134513096.5248954</v>
      </c>
      <c r="AI161" s="179">
        <v>2181935024.1424413</v>
      </c>
      <c r="AJ161" s="179">
        <v>2653485952.1331887</v>
      </c>
      <c r="AK161" s="179">
        <v>2856889159.5861588</v>
      </c>
      <c r="AL161" s="179">
        <v>3224265821.3682446</v>
      </c>
      <c r="AM161" s="179">
        <v>3263363787.1659861</v>
      </c>
      <c r="AN161" s="179">
        <v>3558143644.0607119</v>
      </c>
      <c r="AO161" s="179">
        <v>4040342060.1833353</v>
      </c>
      <c r="AP161" s="179">
        <v>4421952122.977025</v>
      </c>
      <c r="AQ161" s="179">
        <v>4187375887.4117498</v>
      </c>
      <c r="AR161" s="179">
        <v>4169672974.848547</v>
      </c>
      <c r="AS161" s="179">
        <v>4343708895.5850525</v>
      </c>
      <c r="AT161" s="179">
        <v>4663321022.2267294</v>
      </c>
      <c r="AU161" s="179">
        <v>4613637222.1400595</v>
      </c>
      <c r="AV161" s="179">
        <v>4841310239.6368732</v>
      </c>
      <c r="AW161" s="179">
        <v>5816559038.5454531</v>
      </c>
      <c r="AX161" s="179">
        <v>6578840498.6693144</v>
      </c>
      <c r="AY161" s="179">
        <v>6488743119.74298</v>
      </c>
      <c r="AZ161" s="179">
        <v>7028810754.7816362</v>
      </c>
      <c r="BA161" s="179">
        <v>8150150144.156353</v>
      </c>
      <c r="BB161" s="179">
        <v>9990356849.2949066</v>
      </c>
      <c r="BC161" s="179">
        <v>9128843109.1558762</v>
      </c>
      <c r="BD161" s="179">
        <v>10003670690.349657</v>
      </c>
      <c r="BE161" s="179">
        <v>11518413429.968351</v>
      </c>
      <c r="BF161" s="179">
        <v>11668696526.22522</v>
      </c>
      <c r="BG161" s="179">
        <v>12292974007.936144</v>
      </c>
      <c r="BH161" s="179">
        <v>13074130094.372316</v>
      </c>
      <c r="BI161" s="179">
        <v>12007291045.648907</v>
      </c>
      <c r="BJ161" s="179">
        <v>12594155346.298018</v>
      </c>
      <c r="BK161" s="179">
        <v>13713505998.039053</v>
      </c>
      <c r="BL161" s="179">
        <v>14735695930.972702</v>
      </c>
      <c r="BM161" s="179">
        <v>14436347115.289282</v>
      </c>
      <c r="BN161" s="179">
        <v>11401040995.994616</v>
      </c>
      <c r="BO161" s="179">
        <v>11476433603.781378</v>
      </c>
      <c r="BP161" s="179">
        <v>12898307089.131454</v>
      </c>
    </row>
    <row r="162" spans="1:68">
      <c r="A162" s="179" t="s">
        <v>780</v>
      </c>
      <c r="B162" s="179">
        <f t="shared" si="2"/>
        <v>0</v>
      </c>
      <c r="C162" s="179" t="s">
        <v>781</v>
      </c>
      <c r="D162" s="179" t="s">
        <v>494</v>
      </c>
      <c r="E162" s="179" t="s">
        <v>495</v>
      </c>
      <c r="F162" s="179">
        <v>13039999986.959999</v>
      </c>
      <c r="G162" s="179">
        <v>14159999985.84</v>
      </c>
      <c r="H162" s="179">
        <v>15199999984.799999</v>
      </c>
      <c r="I162" s="179">
        <v>16959999983.040001</v>
      </c>
      <c r="J162" s="179">
        <v>20079999979.919998</v>
      </c>
      <c r="K162" s="179">
        <v>21839999978.16</v>
      </c>
      <c r="L162" s="179">
        <v>24319999975.68</v>
      </c>
      <c r="M162" s="179">
        <v>26559999973.439999</v>
      </c>
      <c r="N162" s="179">
        <v>29359999970.639999</v>
      </c>
      <c r="O162" s="179">
        <v>32479999967.52</v>
      </c>
      <c r="P162" s="179">
        <v>35519999964.480003</v>
      </c>
      <c r="Q162" s="179">
        <v>39199999964.066772</v>
      </c>
      <c r="R162" s="179">
        <v>45199916695.035172</v>
      </c>
      <c r="S162" s="179">
        <v>55280212668.412407</v>
      </c>
      <c r="T162" s="179">
        <v>72000179025.504089</v>
      </c>
      <c r="U162" s="179">
        <v>88000000000</v>
      </c>
      <c r="V162" s="179">
        <v>88876787990.912827</v>
      </c>
      <c r="W162" s="179">
        <v>81912502624.467422</v>
      </c>
      <c r="X162" s="179">
        <v>102647292867.00072</v>
      </c>
      <c r="Y162" s="179">
        <v>134529639571.99583</v>
      </c>
      <c r="Z162" s="179">
        <v>205576980831.51395</v>
      </c>
      <c r="AA162" s="179">
        <v>263802132208.63596</v>
      </c>
      <c r="AB162" s="179">
        <v>184603593511.16104</v>
      </c>
      <c r="AC162" s="179">
        <v>156167542258.05963</v>
      </c>
      <c r="AD162" s="179">
        <v>184231211497.05383</v>
      </c>
      <c r="AE162" s="179">
        <v>195241386179.14777</v>
      </c>
      <c r="AF162" s="179">
        <v>134556126316.61986</v>
      </c>
      <c r="AG162" s="179">
        <v>147542611736.83456</v>
      </c>
      <c r="AH162" s="179">
        <v>181611150496.78741</v>
      </c>
      <c r="AI162" s="179">
        <v>221403143240.479</v>
      </c>
      <c r="AJ162" s="179">
        <v>261253660211.68408</v>
      </c>
      <c r="AK162" s="179">
        <v>313139656145.74463</v>
      </c>
      <c r="AL162" s="179">
        <v>363157793810.13629</v>
      </c>
      <c r="AM162" s="179">
        <v>500733386969.94122</v>
      </c>
      <c r="AN162" s="179">
        <v>527810631731.24823</v>
      </c>
      <c r="AO162" s="179">
        <v>360072506961.29321</v>
      </c>
      <c r="AP162" s="179">
        <v>410972976953.22852</v>
      </c>
      <c r="AQ162" s="179">
        <v>500416010941.52148</v>
      </c>
      <c r="AR162" s="179">
        <v>526499723362.14423</v>
      </c>
      <c r="AS162" s="179">
        <v>600233031001.06445</v>
      </c>
      <c r="AT162" s="179">
        <v>707909864021.7793</v>
      </c>
      <c r="AU162" s="179">
        <v>756702925694.03967</v>
      </c>
      <c r="AV162" s="179">
        <v>772109710670.87268</v>
      </c>
      <c r="AW162" s="179">
        <v>729335024013.22485</v>
      </c>
      <c r="AX162" s="179">
        <v>782242912348.37134</v>
      </c>
      <c r="AY162" s="179">
        <v>877476892365.26367</v>
      </c>
      <c r="AZ162" s="179">
        <v>975383402912.58496</v>
      </c>
      <c r="BA162" s="179">
        <v>1052697085016.3497</v>
      </c>
      <c r="BB162" s="179">
        <v>1109987401386.375</v>
      </c>
      <c r="BC162" s="179">
        <v>900047015737.99487</v>
      </c>
      <c r="BD162" s="179">
        <v>1057800597973.6508</v>
      </c>
      <c r="BE162" s="179">
        <v>1180487226406.7791</v>
      </c>
      <c r="BF162" s="179">
        <v>1201093787127.416</v>
      </c>
      <c r="BG162" s="179">
        <v>1274443916251.6384</v>
      </c>
      <c r="BH162" s="179">
        <v>1315356131262.4836</v>
      </c>
      <c r="BI162" s="179">
        <v>1171870072962.7612</v>
      </c>
      <c r="BJ162" s="179">
        <v>1078493059306.9497</v>
      </c>
      <c r="BK162" s="179">
        <v>1158912015259.0129</v>
      </c>
      <c r="BL162" s="179">
        <v>1222405556421.1277</v>
      </c>
      <c r="BM162" s="179">
        <v>1269009571610.7576</v>
      </c>
      <c r="BN162" s="179">
        <v>1090514966785.9084</v>
      </c>
      <c r="BO162" s="179">
        <v>1272838810896.0928</v>
      </c>
      <c r="BP162" s="179">
        <v>1414187193992.2544</v>
      </c>
    </row>
    <row r="163" spans="1:68">
      <c r="A163" s="179" t="s">
        <v>638</v>
      </c>
      <c r="B163" s="179">
        <f t="shared" si="2"/>
        <v>0</v>
      </c>
      <c r="C163" s="179" t="s">
        <v>639</v>
      </c>
      <c r="D163" s="179" t="s">
        <v>494</v>
      </c>
      <c r="E163" s="179" t="s">
        <v>495</v>
      </c>
      <c r="AC163" s="179">
        <v>106500000</v>
      </c>
      <c r="AF163" s="179">
        <v>112210000</v>
      </c>
      <c r="AG163" s="179">
        <v>116700000</v>
      </c>
      <c r="AH163" s="179">
        <v>124700000</v>
      </c>
      <c r="AI163" s="179">
        <v>135200000</v>
      </c>
      <c r="AJ163" s="179">
        <v>147200000</v>
      </c>
      <c r="AK163" s="179">
        <v>166200000</v>
      </c>
      <c r="AL163" s="179">
        <v>178100000</v>
      </c>
      <c r="AM163" s="179">
        <v>198400000</v>
      </c>
      <c r="AN163" s="179">
        <v>202500000</v>
      </c>
      <c r="AO163" s="179">
        <v>221575300</v>
      </c>
      <c r="AP163" s="179">
        <v>218534700</v>
      </c>
      <c r="AQ163" s="179">
        <v>206626300</v>
      </c>
      <c r="AR163" s="179">
        <v>218873100</v>
      </c>
      <c r="AS163" s="179">
        <v>220140500</v>
      </c>
      <c r="AT163" s="179">
        <v>233271800</v>
      </c>
      <c r="AU163" s="179">
        <v>240970900</v>
      </c>
      <c r="AV163" s="179">
        <v>242517200</v>
      </c>
      <c r="AW163" s="179">
        <v>245432900</v>
      </c>
      <c r="AX163" s="179">
        <v>240236000</v>
      </c>
      <c r="AY163" s="179">
        <v>250281900</v>
      </c>
      <c r="AZ163" s="179">
        <v>253541900</v>
      </c>
      <c r="BA163" s="179">
        <v>256787199.99999997</v>
      </c>
      <c r="BB163" s="179">
        <v>263145100</v>
      </c>
      <c r="BC163" s="179">
        <v>280284600</v>
      </c>
      <c r="BD163" s="179">
        <v>296944100</v>
      </c>
      <c r="BE163" s="179">
        <v>311301600</v>
      </c>
      <c r="BF163" s="179">
        <v>327248700</v>
      </c>
      <c r="BG163" s="179">
        <v>317214400</v>
      </c>
      <c r="BH163" s="179">
        <v>319271200</v>
      </c>
      <c r="BI163" s="179">
        <v>316489900</v>
      </c>
      <c r="BJ163" s="179">
        <v>332265200</v>
      </c>
      <c r="BK163" s="179">
        <v>366666800</v>
      </c>
      <c r="BL163" s="179">
        <v>401932300</v>
      </c>
      <c r="BM163" s="179">
        <v>412000000</v>
      </c>
      <c r="BN163" s="179">
        <v>408000000</v>
      </c>
      <c r="BO163" s="179">
        <v>404028900</v>
      </c>
      <c r="BP163" s="179">
        <v>427094119.11131704</v>
      </c>
    </row>
    <row r="164" spans="1:68">
      <c r="A164" s="221" t="s">
        <v>778</v>
      </c>
      <c r="B164" s="179">
        <f t="shared" si="2"/>
        <v>0</v>
      </c>
      <c r="C164" s="179" t="s">
        <v>779</v>
      </c>
      <c r="D164" s="179" t="s">
        <v>494</v>
      </c>
      <c r="E164" s="179" t="s">
        <v>495</v>
      </c>
      <c r="N164" s="179">
        <v>44717172685.555733</v>
      </c>
      <c r="O164" s="179">
        <v>49452094477.50106</v>
      </c>
      <c r="P164" s="179">
        <v>55907595961.076492</v>
      </c>
      <c r="Q164" s="179">
        <v>66167288440.852013</v>
      </c>
      <c r="R164" s="179">
        <v>80153352071.265915</v>
      </c>
      <c r="S164" s="179">
        <v>108540898880.85559</v>
      </c>
      <c r="T164" s="179">
        <v>202706813870.31842</v>
      </c>
      <c r="U164" s="179">
        <v>224132579904.44028</v>
      </c>
      <c r="V164" s="179">
        <v>283341231553.81091</v>
      </c>
      <c r="W164" s="179">
        <v>329435259580.60358</v>
      </c>
      <c r="X164" s="179">
        <v>351690865692.24536</v>
      </c>
      <c r="Y164" s="179">
        <v>461667110191.48828</v>
      </c>
      <c r="Z164" s="179">
        <v>597897341101.21692</v>
      </c>
      <c r="AA164" s="179">
        <v>619069917329.91809</v>
      </c>
      <c r="AB164" s="179">
        <v>618158392045.23218</v>
      </c>
      <c r="AC164" s="179">
        <v>625718271828.56641</v>
      </c>
      <c r="AD164" s="179">
        <v>638070519986.11182</v>
      </c>
      <c r="AE164" s="179">
        <v>654706689124.5105</v>
      </c>
      <c r="AF164" s="179">
        <v>672465558770.203</v>
      </c>
      <c r="AG164" s="179">
        <v>619200038894.05505</v>
      </c>
      <c r="AH164" s="179">
        <v>586915526240.98022</v>
      </c>
      <c r="AI164" s="179">
        <v>609483584498.44055</v>
      </c>
      <c r="AJ164" s="179">
        <v>805603843643.1886</v>
      </c>
      <c r="AK164" s="179">
        <v>563853412811.68567</v>
      </c>
      <c r="AL164" s="179">
        <v>616122411879.78113</v>
      </c>
      <c r="AM164" s="179">
        <v>625486004394.75891</v>
      </c>
      <c r="AN164" s="179">
        <v>659806409519.31165</v>
      </c>
      <c r="AO164" s="179">
        <v>743609670481.60718</v>
      </c>
      <c r="AP164" s="179">
        <v>840153956522.40027</v>
      </c>
      <c r="AQ164" s="179">
        <v>883633046666.93054</v>
      </c>
      <c r="AR164" s="179">
        <v>868792917633.37769</v>
      </c>
      <c r="AS164" s="179">
        <v>942196788206.79077</v>
      </c>
      <c r="AT164" s="179">
        <v>1054434624566.125</v>
      </c>
      <c r="AU164" s="179">
        <v>1049626453935.2023</v>
      </c>
      <c r="AV164" s="179">
        <v>1044708616047.0729</v>
      </c>
      <c r="AW164" s="179">
        <v>1158767180290.354</v>
      </c>
      <c r="AX164" s="179">
        <v>1367527495933.2327</v>
      </c>
      <c r="AY164" s="179">
        <v>1643484575866.9116</v>
      </c>
      <c r="AZ164" s="179">
        <v>1924931009374.3704</v>
      </c>
      <c r="BA164" s="179">
        <v>2272332400470.5024</v>
      </c>
      <c r="BB164" s="179">
        <v>2830408013082.1299</v>
      </c>
      <c r="BC164" s="179">
        <v>2556999251658.5571</v>
      </c>
      <c r="BD164" s="179">
        <v>2984420804908.8511</v>
      </c>
      <c r="BE164" s="179">
        <v>3368261589778.9795</v>
      </c>
      <c r="BF164" s="179">
        <v>3642052757122.0718</v>
      </c>
      <c r="BG164" s="179">
        <v>3581785122621.9404</v>
      </c>
      <c r="BH164" s="179">
        <v>3602485542648.4619</v>
      </c>
      <c r="BI164" s="179">
        <v>3179422230864.3242</v>
      </c>
      <c r="BJ164" s="179">
        <v>3213372950118.3716</v>
      </c>
      <c r="BK164" s="179">
        <v>3352271233734.4604</v>
      </c>
      <c r="BL164" s="179">
        <v>3516514202416.8823</v>
      </c>
      <c r="BM164" s="179">
        <v>3522808006382.4653</v>
      </c>
      <c r="BN164" s="179">
        <v>3157878645367.8989</v>
      </c>
      <c r="BO164" s="179">
        <v>3740992832406.2637</v>
      </c>
      <c r="BP164" s="179">
        <v>4414423065617.2764</v>
      </c>
    </row>
    <row r="165" spans="1:68">
      <c r="A165" s="179" t="s">
        <v>793</v>
      </c>
      <c r="B165" s="179">
        <f t="shared" si="2"/>
        <v>0</v>
      </c>
      <c r="C165" s="179" t="s">
        <v>794</v>
      </c>
      <c r="D165" s="179" t="s">
        <v>494</v>
      </c>
      <c r="E165" s="179" t="s">
        <v>495</v>
      </c>
      <c r="K165" s="179">
        <v>23810290583.673389</v>
      </c>
      <c r="L165" s="179">
        <v>24818305646.725929</v>
      </c>
      <c r="M165" s="179">
        <v>26868148665.623924</v>
      </c>
      <c r="N165" s="179">
        <v>29559642720.3405</v>
      </c>
      <c r="O165" s="179">
        <v>32795724265.066917</v>
      </c>
      <c r="P165" s="179">
        <v>37041045402.711853</v>
      </c>
      <c r="Q165" s="179">
        <v>42465877969.778076</v>
      </c>
      <c r="R165" s="179">
        <v>50671066925.676521</v>
      </c>
      <c r="S165" s="179">
        <v>67263875069.57431</v>
      </c>
      <c r="T165" s="179">
        <v>102537786306.18037</v>
      </c>
      <c r="U165" s="179">
        <v>119312125730.54871</v>
      </c>
      <c r="V165" s="179">
        <v>147273622929.50479</v>
      </c>
      <c r="W165" s="179">
        <v>170439957379.8121</v>
      </c>
      <c r="X165" s="179">
        <v>183193116894.237</v>
      </c>
      <c r="Y165" s="179">
        <v>228497957185.14722</v>
      </c>
      <c r="Z165" s="179">
        <v>273628581283.87283</v>
      </c>
      <c r="AA165" s="179">
        <v>267035342020.83383</v>
      </c>
      <c r="AB165" s="179">
        <v>306280754022.57397</v>
      </c>
      <c r="AC165" s="179">
        <v>344207728574.36591</v>
      </c>
      <c r="AD165" s="179">
        <v>364418541881.34894</v>
      </c>
      <c r="AE165" s="179">
        <v>397323233713.94586</v>
      </c>
      <c r="AF165" s="179">
        <v>446510193616.13751</v>
      </c>
      <c r="AG165" s="179">
        <v>390485215638.73425</v>
      </c>
      <c r="AH165" s="179">
        <v>358479455706.05579</v>
      </c>
      <c r="AI165" s="179">
        <v>360489945430.16852</v>
      </c>
      <c r="AJ165" s="179">
        <v>507141220137.50421</v>
      </c>
      <c r="AK165" s="179">
        <v>262766643338.0011</v>
      </c>
      <c r="AL165" s="179">
        <v>289376729240.24323</v>
      </c>
      <c r="AM165" s="179">
        <v>297118261901.42053</v>
      </c>
      <c r="AN165" s="179">
        <v>318546529596.62329</v>
      </c>
      <c r="AO165" s="179">
        <v>371191412877.51685</v>
      </c>
      <c r="AP165" s="179">
        <v>427895550438.95215</v>
      </c>
      <c r="AQ165" s="179">
        <v>452412290027.7514</v>
      </c>
      <c r="AR165" s="179">
        <v>465947519773.79669</v>
      </c>
      <c r="AS165" s="179">
        <v>506226639650.33466</v>
      </c>
      <c r="AT165" s="179">
        <v>536175306891.65125</v>
      </c>
      <c r="AU165" s="179">
        <v>542328469799.70654</v>
      </c>
      <c r="AV165" s="179">
        <v>528297275874.73566</v>
      </c>
      <c r="AW165" s="179">
        <v>577707880430.59509</v>
      </c>
      <c r="AX165" s="179">
        <v>685783572798.75037</v>
      </c>
      <c r="AY165" s="179">
        <v>808536284369.61462</v>
      </c>
      <c r="AZ165" s="179">
        <v>942305915002.96912</v>
      </c>
      <c r="BA165" s="179">
        <v>1148311867090.24</v>
      </c>
      <c r="BB165" s="179">
        <v>1416250571755.3069</v>
      </c>
      <c r="BC165" s="179">
        <v>1378596088772.168</v>
      </c>
      <c r="BD165" s="179">
        <v>1587780320761.4658</v>
      </c>
      <c r="BE165" s="179">
        <v>1636401102296.0994</v>
      </c>
      <c r="BF165" s="179">
        <v>1764808551707.2979</v>
      </c>
      <c r="BG165" s="179">
        <v>1624047544310.3496</v>
      </c>
      <c r="BH165" s="179">
        <v>1600856731724.6091</v>
      </c>
      <c r="BI165" s="179">
        <v>1439069681066.1052</v>
      </c>
      <c r="BJ165" s="179">
        <v>1475844914342.2415</v>
      </c>
      <c r="BK165" s="179">
        <v>1476907778479.7346</v>
      </c>
      <c r="BL165" s="179">
        <v>1400046333583.24</v>
      </c>
      <c r="BM165" s="179">
        <v>1408624610717.2292</v>
      </c>
      <c r="BN165" s="179">
        <v>1284929306042.4946</v>
      </c>
      <c r="BO165" s="179">
        <v>1507013655174.5122</v>
      </c>
      <c r="BP165" s="179">
        <v>1676993028171.1729</v>
      </c>
    </row>
    <row r="166" spans="1:68">
      <c r="A166" s="179" t="s">
        <v>940</v>
      </c>
      <c r="B166" s="179">
        <f t="shared" si="2"/>
        <v>0</v>
      </c>
      <c r="C166" s="179" t="s">
        <v>941</v>
      </c>
      <c r="D166" s="179" t="s">
        <v>494</v>
      </c>
      <c r="E166" s="179" t="s">
        <v>495</v>
      </c>
      <c r="K166" s="179">
        <v>23597763392.426659</v>
      </c>
      <c r="L166" s="179">
        <v>24596781059.612396</v>
      </c>
      <c r="M166" s="179">
        <v>26628327477.812801</v>
      </c>
      <c r="N166" s="179">
        <v>29295797647.995251</v>
      </c>
      <c r="O166" s="179">
        <v>32502994399.445873</v>
      </c>
      <c r="P166" s="179">
        <v>36710422417.972694</v>
      </c>
      <c r="Q166" s="179">
        <v>42086833718.426872</v>
      </c>
      <c r="R166" s="179">
        <v>50218784350.907227</v>
      </c>
      <c r="S166" s="179">
        <v>66663487502.246193</v>
      </c>
      <c r="T166" s="179">
        <v>101622548936.70232</v>
      </c>
      <c r="U166" s="179">
        <v>118247163046.70071</v>
      </c>
      <c r="V166" s="179">
        <v>145959079987.8324</v>
      </c>
      <c r="W166" s="179">
        <v>168918635105.69501</v>
      </c>
      <c r="X166" s="179">
        <v>181557961772.86432</v>
      </c>
      <c r="Y166" s="179">
        <v>226458417647.58807</v>
      </c>
      <c r="Z166" s="179">
        <v>271186212358.52408</v>
      </c>
      <c r="AA166" s="179">
        <v>264651823390.35513</v>
      </c>
      <c r="AB166" s="179">
        <v>303546936551.65314</v>
      </c>
      <c r="AC166" s="179">
        <v>341135380443.95343</v>
      </c>
      <c r="AD166" s="179">
        <v>361165794970.42383</v>
      </c>
      <c r="AE166" s="179">
        <v>393776784308.73804</v>
      </c>
      <c r="AF166" s="179">
        <v>442524708559.63251</v>
      </c>
      <c r="AG166" s="179">
        <v>386999801388.47815</v>
      </c>
      <c r="AH166" s="179">
        <v>355279720214.66681</v>
      </c>
      <c r="AI166" s="179">
        <v>357272264599.86847</v>
      </c>
      <c r="AJ166" s="179">
        <v>502614551355.26068</v>
      </c>
      <c r="AK166" s="179">
        <v>260421226491.20929</v>
      </c>
      <c r="AL166" s="179">
        <v>286793794636.33862</v>
      </c>
      <c r="AM166" s="179">
        <v>294466227502.75946</v>
      </c>
      <c r="AN166" s="179">
        <v>315703229596.62317</v>
      </c>
      <c r="AO166" s="179">
        <v>367908612877.51666</v>
      </c>
      <c r="AP166" s="179">
        <v>424485950438.9519</v>
      </c>
      <c r="AQ166" s="179">
        <v>448652490027.75116</v>
      </c>
      <c r="AR166" s="179">
        <v>461879719773.79639</v>
      </c>
      <c r="AS166" s="179">
        <v>501955439650.33441</v>
      </c>
      <c r="AT166" s="179">
        <v>531861706891.65094</v>
      </c>
      <c r="AU166" s="179">
        <v>538324769799.7063</v>
      </c>
      <c r="AV166" s="179">
        <v>524741475874.73541</v>
      </c>
      <c r="AW166" s="179">
        <v>573739880430.59497</v>
      </c>
      <c r="AX166" s="179">
        <v>681180472798.75024</v>
      </c>
      <c r="AY166" s="179">
        <v>803410584369.6145</v>
      </c>
      <c r="AZ166" s="179">
        <v>936957615002.96899</v>
      </c>
      <c r="BA166" s="179">
        <v>1142496167090.24</v>
      </c>
      <c r="BB166" s="179">
        <v>1408940171755.3069</v>
      </c>
      <c r="BC166" s="179">
        <v>1370510388772.168</v>
      </c>
      <c r="BD166" s="179">
        <v>1578098820761.4658</v>
      </c>
      <c r="BE166" s="179">
        <v>1625215002296.0994</v>
      </c>
      <c r="BF166" s="179">
        <v>1752600151707.2979</v>
      </c>
      <c r="BG166" s="179">
        <v>1610532044310.3496</v>
      </c>
      <c r="BH166" s="179">
        <v>1586867031724.6091</v>
      </c>
      <c r="BI166" s="179">
        <v>1425097281066.1052</v>
      </c>
      <c r="BJ166" s="179">
        <v>1460439514342.2417</v>
      </c>
      <c r="BK166" s="179">
        <v>1460779778479.7349</v>
      </c>
      <c r="BL166" s="179">
        <v>1383769733583.2402</v>
      </c>
      <c r="BM166" s="179">
        <v>1391491110717.2295</v>
      </c>
      <c r="BN166" s="179">
        <v>1269397606042.4949</v>
      </c>
      <c r="BO166" s="179">
        <v>1488905605615.5205</v>
      </c>
      <c r="BP166" s="179">
        <v>1657891406469.5659</v>
      </c>
    </row>
    <row r="167" spans="1:68">
      <c r="A167" s="179" t="s">
        <v>784</v>
      </c>
      <c r="B167" s="179">
        <f t="shared" si="2"/>
        <v>0</v>
      </c>
      <c r="C167" s="179" t="s">
        <v>785</v>
      </c>
      <c r="D167" s="179" t="s">
        <v>494</v>
      </c>
      <c r="E167" s="179" t="s">
        <v>495</v>
      </c>
      <c r="F167" s="179">
        <v>316376209430.52179</v>
      </c>
      <c r="G167" s="179">
        <v>313303886062.987</v>
      </c>
      <c r="H167" s="179">
        <v>320085524430.74664</v>
      </c>
      <c r="I167" s="179">
        <v>343208421071.06677</v>
      </c>
      <c r="J167" s="179">
        <v>390696261920.41364</v>
      </c>
      <c r="K167" s="179">
        <v>431007931276.02527</v>
      </c>
      <c r="L167" s="179">
        <v>446005445246.89307</v>
      </c>
      <c r="M167" s="179">
        <v>458085789271.23883</v>
      </c>
      <c r="N167" s="179">
        <v>483839604813.95367</v>
      </c>
      <c r="O167" s="179">
        <v>540752617375.37164</v>
      </c>
      <c r="P167" s="179">
        <v>594602858158.58337</v>
      </c>
      <c r="Q167" s="179">
        <v>639144217439.17322</v>
      </c>
      <c r="R167" s="179">
        <v>715919582279.35364</v>
      </c>
      <c r="S167" s="179">
        <v>914833294251.13757</v>
      </c>
      <c r="T167" s="179">
        <v>1161069117578.9866</v>
      </c>
      <c r="U167" s="179">
        <v>1282604977967.1306</v>
      </c>
      <c r="V167" s="179">
        <v>1378256736089.2026</v>
      </c>
      <c r="W167" s="179">
        <v>1545854791100.5281</v>
      </c>
      <c r="X167" s="179">
        <v>1715904581161.5439</v>
      </c>
      <c r="Y167" s="179">
        <v>1992288749673.4282</v>
      </c>
      <c r="Z167" s="179">
        <v>2353291017161.0151</v>
      </c>
      <c r="AA167" s="179">
        <v>2649954735161.4487</v>
      </c>
      <c r="AB167" s="179">
        <v>2609362555753.7295</v>
      </c>
      <c r="AC167" s="179">
        <v>2520772212451.6143</v>
      </c>
      <c r="AD167" s="179">
        <v>2599512223206.9141</v>
      </c>
      <c r="AE167" s="179">
        <v>2696619172045.7202</v>
      </c>
      <c r="AF167" s="179">
        <v>2798928238733.8169</v>
      </c>
      <c r="AG167" s="179">
        <v>2899470710783.8276</v>
      </c>
      <c r="AH167" s="179">
        <v>3084956766681.6338</v>
      </c>
      <c r="AI167" s="179">
        <v>3216442505896.8281</v>
      </c>
      <c r="AJ167" s="179">
        <v>3697346151633.1704</v>
      </c>
      <c r="AK167" s="179">
        <v>3553641933496.7837</v>
      </c>
      <c r="AL167" s="179">
        <v>3712563843245.603</v>
      </c>
      <c r="AM167" s="179">
        <v>3965957275221.9204</v>
      </c>
      <c r="AN167" s="179">
        <v>4298394115140.0903</v>
      </c>
      <c r="AO167" s="179">
        <v>4825314214232.5381</v>
      </c>
      <c r="AP167" s="179">
        <v>5288859968669.8203</v>
      </c>
      <c r="AQ167" s="179">
        <v>5596554559132.6523</v>
      </c>
      <c r="AR167" s="179">
        <v>5414212859323.6465</v>
      </c>
      <c r="AS167" s="179">
        <v>5297090345599.2158</v>
      </c>
      <c r="AT167" s="179">
        <v>5776761011405.6182</v>
      </c>
      <c r="AU167" s="179">
        <v>5831560036561.6279</v>
      </c>
      <c r="AV167" s="179">
        <v>5970192042162.1934</v>
      </c>
      <c r="AW167" s="179">
        <v>6732418464358.1719</v>
      </c>
      <c r="AX167" s="179">
        <v>7992081898929.6797</v>
      </c>
      <c r="AY167" s="179">
        <v>9511305976468.1387</v>
      </c>
      <c r="AZ167" s="179">
        <v>11293666564845.09</v>
      </c>
      <c r="BA167" s="179">
        <v>13954903602793.234</v>
      </c>
      <c r="BB167" s="179">
        <v>16694431978835.207</v>
      </c>
      <c r="BC167" s="179">
        <v>16305847816594.652</v>
      </c>
      <c r="BD167" s="179">
        <v>19889521929418.418</v>
      </c>
      <c r="BE167" s="179">
        <v>23725461596065.695</v>
      </c>
      <c r="BF167" s="179">
        <v>25291481601347.238</v>
      </c>
      <c r="BG167" s="179">
        <v>26794468512319.23</v>
      </c>
      <c r="BH167" s="179">
        <v>27693615809487.25</v>
      </c>
      <c r="BI167" s="179">
        <v>26235141991923.594</v>
      </c>
      <c r="BJ167" s="179">
        <v>26474239454559.91</v>
      </c>
      <c r="BK167" s="179">
        <v>29101978685393.676</v>
      </c>
      <c r="BL167" s="179">
        <v>30947243041064.906</v>
      </c>
      <c r="BM167" s="179">
        <v>31667498458543.113</v>
      </c>
      <c r="BN167" s="179">
        <v>30547251417511.984</v>
      </c>
      <c r="BO167" s="179">
        <v>36066152279426.672</v>
      </c>
      <c r="BP167" s="179">
        <v>38164267887582.492</v>
      </c>
    </row>
    <row r="168" spans="1:68">
      <c r="A168" s="179" t="s">
        <v>772</v>
      </c>
      <c r="B168" s="179">
        <f t="shared" si="2"/>
        <v>1</v>
      </c>
      <c r="C168" s="179" t="s">
        <v>773</v>
      </c>
      <c r="D168" s="179" t="s">
        <v>494</v>
      </c>
      <c r="E168" s="179" t="s">
        <v>495</v>
      </c>
      <c r="AO168" s="179">
        <v>1752979926.4148901</v>
      </c>
      <c r="AP168" s="179">
        <v>1695122173.9130435</v>
      </c>
      <c r="AQ168" s="179">
        <v>1930081168.8311689</v>
      </c>
      <c r="AR168" s="179">
        <v>1698717504.6554935</v>
      </c>
      <c r="AS168" s="179">
        <v>1170782957.3744323</v>
      </c>
      <c r="AT168" s="179">
        <v>1288429391.7995076</v>
      </c>
      <c r="AU168" s="179">
        <v>1480673594.0560203</v>
      </c>
      <c r="AV168" s="179">
        <v>1661818168.4226036</v>
      </c>
      <c r="AW168" s="179">
        <v>1980907434.7682641</v>
      </c>
      <c r="AX168" s="179">
        <v>2598249555.8998399</v>
      </c>
      <c r="AY168" s="179">
        <v>2988342907.0309634</v>
      </c>
      <c r="AZ168" s="179">
        <v>3408255364.0319762</v>
      </c>
      <c r="BA168" s="179">
        <v>4401173161.6832705</v>
      </c>
      <c r="BB168" s="179">
        <v>6054824433.0582457</v>
      </c>
      <c r="BC168" s="179">
        <v>5439434059.3199615</v>
      </c>
      <c r="BD168" s="179">
        <v>6974982391.400938</v>
      </c>
      <c r="BE168" s="179">
        <v>8414351671.724103</v>
      </c>
      <c r="BF168" s="179">
        <v>8709138767.2078018</v>
      </c>
      <c r="BG168" s="179">
        <v>9496717700.8985519</v>
      </c>
      <c r="BH168" s="179">
        <v>9399833207.4934101</v>
      </c>
      <c r="BI168" s="179">
        <v>7798692878.4013605</v>
      </c>
      <c r="BJ168" s="179">
        <v>7982450758.0321274</v>
      </c>
      <c r="BK168" s="179">
        <v>9519053158.464035</v>
      </c>
      <c r="BL168" s="179">
        <v>11253727815.476191</v>
      </c>
      <c r="BM168" s="179">
        <v>11735774634.423899</v>
      </c>
      <c r="BN168" s="179">
        <v>11531967881.062355</v>
      </c>
      <c r="BO168" s="179">
        <v>13692230147.058825</v>
      </c>
      <c r="BP168" s="179">
        <v>14420947883.597883</v>
      </c>
    </row>
    <row r="169" spans="1:68">
      <c r="A169" s="179" t="s">
        <v>770</v>
      </c>
      <c r="B169" s="179">
        <f t="shared" si="2"/>
        <v>0</v>
      </c>
      <c r="C169" s="179" t="s">
        <v>771</v>
      </c>
      <c r="D169" s="179" t="s">
        <v>494</v>
      </c>
      <c r="E169" s="179" t="s">
        <v>495</v>
      </c>
      <c r="P169" s="179">
        <v>293073868.02322143</v>
      </c>
      <c r="Q169" s="179">
        <v>327651487.96275675</v>
      </c>
      <c r="R169" s="179">
        <v>402460333.23763728</v>
      </c>
      <c r="S169" s="179">
        <v>523552815.11912727</v>
      </c>
      <c r="T169" s="179">
        <v>563939670.70441937</v>
      </c>
      <c r="U169" s="179">
        <v>711922994.22554493</v>
      </c>
      <c r="V169" s="179">
        <v>735339911.93506515</v>
      </c>
      <c r="W169" s="179">
        <v>811250927.38899815</v>
      </c>
      <c r="X169" s="179">
        <v>1000535735.3875107</v>
      </c>
      <c r="Y169" s="179">
        <v>1209898293.4637191</v>
      </c>
      <c r="Z169" s="179">
        <v>1378130995.659126</v>
      </c>
      <c r="AA169" s="179">
        <v>1205166025.5159183</v>
      </c>
      <c r="AB169" s="179">
        <v>1143229071.7794309</v>
      </c>
      <c r="AC169" s="179">
        <v>1092551781.0148635</v>
      </c>
      <c r="AD169" s="179">
        <v>1037314956.2508339</v>
      </c>
      <c r="AE169" s="179">
        <v>1082851076.5215755</v>
      </c>
      <c r="AF169" s="179">
        <v>1515209588.2377975</v>
      </c>
      <c r="AG169" s="179">
        <v>1839095595.2565525</v>
      </c>
      <c r="AH169" s="179">
        <v>2000674667.0826108</v>
      </c>
      <c r="AI169" s="179">
        <v>2010116851.2028396</v>
      </c>
      <c r="AJ169" s="179">
        <v>2481316053.8531599</v>
      </c>
      <c r="AK169" s="179">
        <v>2480497538.5479441</v>
      </c>
      <c r="AL169" s="179">
        <v>2737067001.7593813</v>
      </c>
      <c r="AM169" s="179">
        <v>2574440022.979641</v>
      </c>
      <c r="AN169" s="179">
        <v>2720297793.2866182</v>
      </c>
      <c r="AO169" s="179">
        <v>3130270895.1358652</v>
      </c>
      <c r="AP169" s="179">
        <v>3137848801.0360646</v>
      </c>
      <c r="AQ169" s="179">
        <v>2840182220.9911728</v>
      </c>
      <c r="AR169" s="179">
        <v>2934578821.1093831</v>
      </c>
      <c r="AS169" s="179">
        <v>2907075359.5040989</v>
      </c>
      <c r="AT169" s="179">
        <v>2654476597.1543584</v>
      </c>
      <c r="AU169" s="179">
        <v>2673738412.57583</v>
      </c>
      <c r="AV169" s="179">
        <v>2919691961.3743191</v>
      </c>
      <c r="AW169" s="179">
        <v>3597052153.185679</v>
      </c>
      <c r="AX169" s="179">
        <v>4117728150.8400106</v>
      </c>
      <c r="AY169" s="179">
        <v>4204651893.540854</v>
      </c>
      <c r="AZ169" s="179">
        <v>4586828062.2352877</v>
      </c>
      <c r="BA169" s="179">
        <v>5875376401.9215879</v>
      </c>
      <c r="BB169" s="179">
        <v>6502945305.0781231</v>
      </c>
      <c r="BC169" s="179">
        <v>5473265701.6796837</v>
      </c>
      <c r="BD169" s="179">
        <v>5367561640.0000105</v>
      </c>
      <c r="BE169" s="179">
        <v>6088690667.3151875</v>
      </c>
      <c r="BF169" s="179">
        <v>5742748405.546876</v>
      </c>
      <c r="BG169" s="179">
        <v>6555590641.5686455</v>
      </c>
      <c r="BH169" s="179">
        <v>7069351223.5686026</v>
      </c>
      <c r="BI169" s="179">
        <v>6261646949.5312471</v>
      </c>
      <c r="BJ169" s="179">
        <v>6472837332.9572144</v>
      </c>
      <c r="BK169" s="179">
        <v>6431274937.6470699</v>
      </c>
      <c r="BL169" s="179">
        <v>7194256778.2745047</v>
      </c>
      <c r="BM169" s="179">
        <v>7383941919.2156744</v>
      </c>
      <c r="BN169" s="179">
        <v>6739642360.4669447</v>
      </c>
      <c r="BO169" s="179">
        <v>8596156573.6432724</v>
      </c>
    </row>
    <row r="170" spans="1:68">
      <c r="A170" s="179" t="s">
        <v>796</v>
      </c>
      <c r="B170" s="179">
        <f t="shared" si="2"/>
        <v>0</v>
      </c>
      <c r="C170" s="179" t="s">
        <v>797</v>
      </c>
      <c r="D170" s="179" t="s">
        <v>494</v>
      </c>
      <c r="E170" s="179" t="s">
        <v>495</v>
      </c>
      <c r="AA170" s="179">
        <v>2310099100</v>
      </c>
      <c r="AB170" s="179">
        <v>2552401933.3333335</v>
      </c>
      <c r="AC170" s="179">
        <v>2725736633.3333335</v>
      </c>
      <c r="AD170" s="179">
        <v>2098734599.9999998</v>
      </c>
      <c r="AE170" s="179">
        <v>2186505475</v>
      </c>
      <c r="AF170" s="179">
        <v>2896178866.6666665</v>
      </c>
      <c r="AG170" s="179">
        <v>3020611600</v>
      </c>
      <c r="AH170" s="179">
        <v>3204461566.6666665</v>
      </c>
      <c r="AI170" s="179">
        <v>3576966800</v>
      </c>
      <c r="AJ170" s="179">
        <v>2560785660</v>
      </c>
      <c r="AK170" s="179">
        <v>2379018326.3157897</v>
      </c>
      <c r="AL170" s="179">
        <v>1317611863.8497653</v>
      </c>
      <c r="AM170" s="179">
        <v>768401634.15457308</v>
      </c>
      <c r="AN170" s="179">
        <v>925817092.217484</v>
      </c>
      <c r="AO170" s="179">
        <v>1452165005.2384031</v>
      </c>
      <c r="AP170" s="179">
        <v>1345719472.3588309</v>
      </c>
      <c r="AQ170" s="179">
        <v>1180934202.8380105</v>
      </c>
      <c r="AR170" s="179">
        <v>1124440204.4016123</v>
      </c>
      <c r="AS170" s="179">
        <v>1057408588.6826869</v>
      </c>
      <c r="AT170" s="179">
        <v>1136896123.6129804</v>
      </c>
      <c r="AU170" s="179">
        <v>1267997934.3125041</v>
      </c>
      <c r="AV170" s="179">
        <v>1396555719.9740865</v>
      </c>
      <c r="AW170" s="179">
        <v>1595297355.7834878</v>
      </c>
      <c r="AX170" s="179">
        <v>1992066808.0959773</v>
      </c>
      <c r="AY170" s="179">
        <v>2523471601.8021135</v>
      </c>
      <c r="AZ170" s="179">
        <v>3414055662.5806341</v>
      </c>
      <c r="BA170" s="179">
        <v>4234999702.6944594</v>
      </c>
      <c r="BB170" s="179">
        <v>5623216609.6506901</v>
      </c>
      <c r="BC170" s="179">
        <v>4583850367.88972</v>
      </c>
      <c r="BD170" s="179">
        <v>7189482000.6668634</v>
      </c>
      <c r="BE170" s="179">
        <v>10409797375.115181</v>
      </c>
      <c r="BF170" s="179">
        <v>12292770631.19669</v>
      </c>
      <c r="BG170" s="179">
        <v>12582122604.192129</v>
      </c>
      <c r="BH170" s="179">
        <v>12226514666.0404</v>
      </c>
      <c r="BI170" s="179">
        <v>11619892592.659931</v>
      </c>
      <c r="BJ170" s="179">
        <v>11181350649.224726</v>
      </c>
      <c r="BK170" s="179">
        <v>11480847740.08391</v>
      </c>
      <c r="BL170" s="179">
        <v>13178094719.861187</v>
      </c>
      <c r="BM170" s="179">
        <v>14206359016.401356</v>
      </c>
      <c r="BN170" s="179">
        <v>13312981427.402287</v>
      </c>
      <c r="BO170" s="179">
        <v>15286441740.129005</v>
      </c>
      <c r="BP170" s="179">
        <v>16810883360.912991</v>
      </c>
    </row>
    <row r="171" spans="1:68">
      <c r="A171" s="179" t="s">
        <v>423</v>
      </c>
      <c r="B171" s="179">
        <f t="shared" si="2"/>
        <v>1</v>
      </c>
      <c r="C171" s="179" t="s">
        <v>795</v>
      </c>
      <c r="D171" s="179" t="s">
        <v>494</v>
      </c>
      <c r="E171" s="179" t="s">
        <v>495</v>
      </c>
      <c r="AT171" s="179">
        <v>984292969.87764931</v>
      </c>
      <c r="AU171" s="179">
        <v>1159869245.9251299</v>
      </c>
      <c r="AV171" s="179">
        <v>1284685050.5241289</v>
      </c>
      <c r="AW171" s="179">
        <v>1707710053.1493838</v>
      </c>
      <c r="AX171" s="179">
        <v>2073234417.6806555</v>
      </c>
      <c r="AY171" s="179">
        <v>2257174480.7859716</v>
      </c>
      <c r="AZ171" s="179">
        <v>2721903148.9148159</v>
      </c>
      <c r="BA171" s="179">
        <v>3680711743.7722421</v>
      </c>
      <c r="BB171" s="179">
        <v>4545674527.6109571</v>
      </c>
      <c r="BC171" s="179">
        <v>4159330369.5470963</v>
      </c>
      <c r="BD171" s="179">
        <v>4142983897.8333411</v>
      </c>
      <c r="BE171" s="179">
        <v>4544429062.5778303</v>
      </c>
      <c r="BF171" s="179">
        <v>4087525609.4308605</v>
      </c>
      <c r="BG171" s="179">
        <v>4465771672.6200123</v>
      </c>
      <c r="BH171" s="179">
        <v>4593852089.0956697</v>
      </c>
      <c r="BI171" s="179">
        <v>4054728172.943748</v>
      </c>
      <c r="BJ171" s="179">
        <v>4376929571.6311388</v>
      </c>
      <c r="BK171" s="179">
        <v>4856602178.6341257</v>
      </c>
      <c r="BL171" s="179">
        <v>5506944403.3019571</v>
      </c>
      <c r="BM171" s="179">
        <v>5542053845.2927351</v>
      </c>
      <c r="BN171" s="179">
        <v>4769995511.5524244</v>
      </c>
      <c r="BO171" s="179">
        <v>5861430525.5844736</v>
      </c>
      <c r="BP171" s="179">
        <v>6095978867.6992931</v>
      </c>
    </row>
    <row r="172" spans="1:68">
      <c r="A172" s="179" t="s">
        <v>768</v>
      </c>
      <c r="B172" s="179">
        <f t="shared" si="2"/>
        <v>1</v>
      </c>
      <c r="C172" s="179" t="s">
        <v>769</v>
      </c>
      <c r="D172" s="179" t="s">
        <v>494</v>
      </c>
      <c r="E172" s="179" t="s">
        <v>495</v>
      </c>
      <c r="F172" s="179">
        <v>2037154740.2975113</v>
      </c>
      <c r="G172" s="179">
        <v>2025693537.9330244</v>
      </c>
      <c r="H172" s="179">
        <v>2379611122.7050366</v>
      </c>
      <c r="I172" s="179">
        <v>2657252576.1754794</v>
      </c>
      <c r="J172" s="179">
        <v>2798345296.3324394</v>
      </c>
      <c r="K172" s="179">
        <v>2948331088.1018105</v>
      </c>
      <c r="L172" s="179">
        <v>2876401294.7995944</v>
      </c>
      <c r="M172" s="179">
        <v>3046345311.9421921</v>
      </c>
      <c r="N172" s="179">
        <v>3271422329.9950047</v>
      </c>
      <c r="O172" s="179">
        <v>3651622666.0210023</v>
      </c>
      <c r="P172" s="179">
        <v>3956336240.9441252</v>
      </c>
      <c r="Q172" s="179">
        <v>4356669160.6339693</v>
      </c>
      <c r="R172" s="179">
        <v>5074117544.7748222</v>
      </c>
      <c r="S172" s="179">
        <v>6242146134.926836</v>
      </c>
      <c r="T172" s="179">
        <v>7675467036.6096077</v>
      </c>
      <c r="U172" s="179">
        <v>8984851898.7374687</v>
      </c>
      <c r="V172" s="179">
        <v>9584296202.0867043</v>
      </c>
      <c r="W172" s="179">
        <v>11049784283.215311</v>
      </c>
      <c r="X172" s="179">
        <v>13236946766.230112</v>
      </c>
      <c r="Y172" s="179">
        <v>15911994141.240829</v>
      </c>
      <c r="Z172" s="179">
        <v>21728517078.535408</v>
      </c>
      <c r="AA172" s="179">
        <v>17788186055.571049</v>
      </c>
      <c r="AB172" s="179">
        <v>17692275268.387638</v>
      </c>
      <c r="AC172" s="179">
        <v>16251407368.09672</v>
      </c>
      <c r="AD172" s="179">
        <v>14824668235.783358</v>
      </c>
      <c r="AE172" s="179">
        <v>14991283215.740831</v>
      </c>
      <c r="AF172" s="179">
        <v>19462086253.306629</v>
      </c>
      <c r="AG172" s="179">
        <v>21765195948.188976</v>
      </c>
      <c r="AH172" s="179">
        <v>25705296183.503674</v>
      </c>
      <c r="AI172" s="179">
        <v>26314313191.182552</v>
      </c>
      <c r="AJ172" s="179">
        <v>30179955995.515015</v>
      </c>
      <c r="AK172" s="179">
        <v>32285573573.918488</v>
      </c>
      <c r="AL172" s="179">
        <v>33711069430.780041</v>
      </c>
      <c r="AM172" s="179">
        <v>31655473663.834824</v>
      </c>
      <c r="AN172" s="179">
        <v>35604137422.579597</v>
      </c>
      <c r="AO172" s="179">
        <v>39030285468.384079</v>
      </c>
      <c r="AP172" s="179">
        <v>43161572352.979271</v>
      </c>
      <c r="AQ172" s="179">
        <v>39147844526.083763</v>
      </c>
      <c r="AR172" s="179">
        <v>46497609536.241837</v>
      </c>
      <c r="AS172" s="179">
        <v>46266427862.75103</v>
      </c>
      <c r="AT172" s="179">
        <v>43017455401.424431</v>
      </c>
      <c r="AU172" s="179">
        <v>43831480206.453522</v>
      </c>
      <c r="AV172" s="179">
        <v>47077192183.732872</v>
      </c>
      <c r="AW172" s="179">
        <v>58029361338.629845</v>
      </c>
      <c r="AX172" s="179">
        <v>66114147932.39032</v>
      </c>
      <c r="AY172" s="179">
        <v>68852655479.560089</v>
      </c>
      <c r="AZ172" s="179">
        <v>75883820424.084503</v>
      </c>
      <c r="BA172" s="179">
        <v>86947909744.599335</v>
      </c>
      <c r="BB172" s="179">
        <v>101822906946.02664</v>
      </c>
      <c r="BC172" s="179">
        <v>101154952243.01497</v>
      </c>
      <c r="BD172" s="179">
        <v>100865325482.24379</v>
      </c>
      <c r="BE172" s="179">
        <v>110080631330.06136</v>
      </c>
      <c r="BF172" s="179">
        <v>106937397478.35275</v>
      </c>
      <c r="BG172" s="179">
        <v>115739288446.79884</v>
      </c>
      <c r="BH172" s="179">
        <v>119130845829.48183</v>
      </c>
      <c r="BI172" s="179">
        <v>110413820681.03416</v>
      </c>
      <c r="BJ172" s="179">
        <v>111572946646.53508</v>
      </c>
      <c r="BK172" s="179">
        <v>118540574727.55217</v>
      </c>
      <c r="BL172" s="179">
        <v>127341141871.20514</v>
      </c>
      <c r="BM172" s="179">
        <v>128920265075.5255</v>
      </c>
      <c r="BN172" s="179">
        <v>121347533649.79297</v>
      </c>
      <c r="BO172" s="179">
        <v>142866583124.69638</v>
      </c>
      <c r="BP172" s="179">
        <v>134181587769.79614</v>
      </c>
    </row>
    <row r="173" spans="1:68">
      <c r="A173" s="179" t="s">
        <v>800</v>
      </c>
      <c r="B173" s="179">
        <f t="shared" si="2"/>
        <v>1</v>
      </c>
      <c r="C173" s="179" t="s">
        <v>801</v>
      </c>
      <c r="D173" s="179" t="s">
        <v>494</v>
      </c>
      <c r="E173" s="179" t="s">
        <v>495</v>
      </c>
      <c r="AK173" s="179">
        <v>3633488385.0627499</v>
      </c>
      <c r="AL173" s="179">
        <v>2640001311.3168931</v>
      </c>
      <c r="AM173" s="179">
        <v>2729524757.9953361</v>
      </c>
      <c r="AN173" s="179">
        <v>2796555381.4591894</v>
      </c>
      <c r="AO173" s="179">
        <v>2899912130.1665878</v>
      </c>
      <c r="AP173" s="179">
        <v>3856799844.1609039</v>
      </c>
      <c r="AQ173" s="179">
        <v>4648838896.0678139</v>
      </c>
      <c r="AR173" s="179">
        <v>5263884908.2424097</v>
      </c>
      <c r="AS173" s="179">
        <v>5976402585.9134541</v>
      </c>
      <c r="AT173" s="179">
        <v>5656473652.4114742</v>
      </c>
      <c r="AU173" s="179">
        <v>5398557896.1574841</v>
      </c>
      <c r="AV173" s="179">
        <v>5677013628.8505678</v>
      </c>
      <c r="AW173" s="179">
        <v>6303399757.8237648</v>
      </c>
      <c r="AX173" s="179">
        <v>7631106170.9462128</v>
      </c>
      <c r="AY173" s="179">
        <v>8542083074.1471577</v>
      </c>
      <c r="AZ173" s="179">
        <v>9176896597.1680202</v>
      </c>
      <c r="BA173" s="179">
        <v>10450826527.206644</v>
      </c>
      <c r="BB173" s="179">
        <v>12556173242.773643</v>
      </c>
      <c r="BC173" s="179">
        <v>11914471512.768396</v>
      </c>
      <c r="BD173" s="179">
        <v>11104649065.164936</v>
      </c>
      <c r="BE173" s="179">
        <v>14381552466.604368</v>
      </c>
      <c r="BF173" s="179">
        <v>16350813486.990786</v>
      </c>
      <c r="BG173" s="179">
        <v>16974314296.218243</v>
      </c>
      <c r="BH173" s="179">
        <v>17716091057.267498</v>
      </c>
      <c r="BI173" s="179">
        <v>15950979333.158171</v>
      </c>
      <c r="BJ173" s="179">
        <v>11936993086.957928</v>
      </c>
      <c r="BK173" s="179">
        <v>13219079497.705519</v>
      </c>
      <c r="BL173" s="179">
        <v>14845400592.671202</v>
      </c>
      <c r="BM173" s="179">
        <v>15390031039.995747</v>
      </c>
      <c r="BN173" s="179">
        <v>14156864916.471071</v>
      </c>
      <c r="BO173" s="179">
        <v>15776757419.519743</v>
      </c>
      <c r="BP173" s="179">
        <v>17851491427.676495</v>
      </c>
    </row>
    <row r="174" spans="1:68">
      <c r="A174" s="179" t="s">
        <v>791</v>
      </c>
      <c r="B174" s="179">
        <f t="shared" si="2"/>
        <v>0</v>
      </c>
      <c r="C174" s="179" t="s">
        <v>792</v>
      </c>
      <c r="D174" s="179" t="s">
        <v>494</v>
      </c>
      <c r="E174" s="179" t="s">
        <v>495</v>
      </c>
      <c r="G174" s="179">
        <v>584351384.46408796</v>
      </c>
      <c r="H174" s="179">
        <v>612517344.7562151</v>
      </c>
      <c r="I174" s="179">
        <v>659976659.59952879</v>
      </c>
      <c r="J174" s="179">
        <v>475197381.86825573</v>
      </c>
      <c r="K174" s="179">
        <v>402619413.64898401</v>
      </c>
      <c r="L174" s="179">
        <v>317816209.97375327</v>
      </c>
      <c r="M174" s="179">
        <v>328182434.54496074</v>
      </c>
      <c r="N174" s="179">
        <v>531186357.40598059</v>
      </c>
      <c r="O174" s="179">
        <v>551379225.91292584</v>
      </c>
      <c r="P174" s="179">
        <v>578992638.82910037</v>
      </c>
      <c r="Q174" s="179">
        <v>559378375.67567563</v>
      </c>
      <c r="R174" s="179">
        <v>634525053.10396421</v>
      </c>
      <c r="S174" s="179">
        <v>667038769.09196424</v>
      </c>
      <c r="T174" s="179">
        <v>1000557949.5922867</v>
      </c>
      <c r="U174" s="179">
        <v>1128484859.0250328</v>
      </c>
      <c r="V174" s="179">
        <v>1155595925.0851307</v>
      </c>
      <c r="W174" s="179">
        <v>1000350726.8741781</v>
      </c>
      <c r="X174" s="179">
        <v>916914661.34942114</v>
      </c>
      <c r="Y174" s="179">
        <v>919525191.63639283</v>
      </c>
      <c r="Z174" s="179">
        <v>1010596805.4761786</v>
      </c>
      <c r="AA174" s="179">
        <v>1064867669.3890885</v>
      </c>
      <c r="AB174" s="179">
        <v>1302701536.673929</v>
      </c>
      <c r="AC174" s="179">
        <v>1427209835.801332</v>
      </c>
      <c r="AD174" s="179">
        <v>1354699245.0724132</v>
      </c>
      <c r="AE174" s="179">
        <v>1310837294.2583733</v>
      </c>
      <c r="AF174" s="179">
        <v>1590096758.9715197</v>
      </c>
      <c r="AG174" s="179">
        <v>1448003803.8624618</v>
      </c>
      <c r="AH174" s="179">
        <v>1392547742.8253479</v>
      </c>
      <c r="AI174" s="179">
        <v>1674823310.8625226</v>
      </c>
      <c r="AJ174" s="179">
        <v>2036373522.6893921</v>
      </c>
      <c r="AK174" s="179">
        <v>2137184858.0441639</v>
      </c>
      <c r="AL174" s="179">
        <v>2216072577.1134367</v>
      </c>
      <c r="AM174" s="179">
        <v>2809748387.0967741</v>
      </c>
      <c r="AN174" s="179">
        <v>3821535779.8165135</v>
      </c>
      <c r="AO174" s="179">
        <v>4879257847.7712164</v>
      </c>
      <c r="AP174" s="179">
        <v>5759624742.2680416</v>
      </c>
      <c r="AQ174" s="179">
        <v>5633070602.5401573</v>
      </c>
      <c r="AR174" s="179">
        <v>4613071494.6345892</v>
      </c>
      <c r="AS174" s="179">
        <v>5643818689.4789991</v>
      </c>
      <c r="AT174" s="179">
        <v>6849321645.9562302</v>
      </c>
      <c r="AU174" s="179">
        <v>6220270632.3359213</v>
      </c>
      <c r="AV174" s="179">
        <v>6110632857.6658421</v>
      </c>
      <c r="AW174" s="179">
        <v>7754647428.0732346</v>
      </c>
      <c r="AX174" s="179">
        <v>9390855297.7355328</v>
      </c>
      <c r="AY174" s="179">
        <v>10588433068.85494</v>
      </c>
      <c r="AZ174" s="179">
        <v>11863016315.293356</v>
      </c>
      <c r="BA174" s="179">
        <v>15591182544.709234</v>
      </c>
      <c r="BB174" s="179">
        <v>23013015832.102268</v>
      </c>
      <c r="BC174" s="179">
        <v>29455165594.685921</v>
      </c>
      <c r="BD174" s="179">
        <v>37796052938.72776</v>
      </c>
      <c r="BE174" s="179">
        <v>54118601974.794716</v>
      </c>
      <c r="BF174" s="179">
        <v>58318677644.949196</v>
      </c>
      <c r="BG174" s="179">
        <v>60572257122.296211</v>
      </c>
      <c r="BH174" s="179">
        <v>63264892768.37262</v>
      </c>
      <c r="BI174" s="179">
        <v>63045306513.931717</v>
      </c>
      <c r="BJ174" s="179">
        <v>60291738934.776794</v>
      </c>
      <c r="BK174" s="179">
        <v>61449391917.127579</v>
      </c>
      <c r="BL174" s="179">
        <v>67144726167.929352</v>
      </c>
      <c r="BM174" s="179">
        <v>68697761477.180862</v>
      </c>
      <c r="BN174" s="179">
        <v>78930259068.527451</v>
      </c>
      <c r="BO174" s="179">
        <v>65124769601.748184</v>
      </c>
      <c r="BP174" s="179">
        <v>59364362540.552376</v>
      </c>
    </row>
    <row r="175" spans="1:68">
      <c r="A175" s="179" t="s">
        <v>812</v>
      </c>
      <c r="B175" s="179">
        <f t="shared" si="2"/>
        <v>1</v>
      </c>
      <c r="C175" s="179" t="s">
        <v>813</v>
      </c>
      <c r="D175" s="179" t="s">
        <v>494</v>
      </c>
      <c r="E175" s="179" t="s">
        <v>495</v>
      </c>
      <c r="Z175" s="179">
        <v>2421991155.0023561</v>
      </c>
      <c r="AA175" s="179">
        <v>2249908724.5580502</v>
      </c>
      <c r="AB175" s="179">
        <v>2118710573.9352834</v>
      </c>
      <c r="AC175" s="179">
        <v>2297400688.0660176</v>
      </c>
      <c r="AD175" s="179">
        <v>1951259376.8208456</v>
      </c>
      <c r="AE175" s="179">
        <v>1608237350.8197169</v>
      </c>
      <c r="AF175" s="179">
        <v>1809048791.2504158</v>
      </c>
      <c r="AG175" s="179">
        <v>2300067840.457756</v>
      </c>
      <c r="AH175" s="179">
        <v>2495095295.1823587</v>
      </c>
      <c r="AI175" s="179">
        <v>2535135314.2732949</v>
      </c>
      <c r="AJ175" s="179">
        <v>2789922033.0940828</v>
      </c>
      <c r="AK175" s="179">
        <v>2996869281.4836407</v>
      </c>
      <c r="AL175" s="179">
        <v>3429521498.9874077</v>
      </c>
      <c r="AM175" s="179">
        <v>3251189247.7013783</v>
      </c>
      <c r="AN175" s="179">
        <v>3666503185.4338894</v>
      </c>
      <c r="AO175" s="179">
        <v>3978514206.3116798</v>
      </c>
      <c r="AP175" s="179">
        <v>3989163041.925529</v>
      </c>
      <c r="AQ175" s="179">
        <v>4154990250.5699344</v>
      </c>
      <c r="AR175" s="179">
        <v>3873109748.7903471</v>
      </c>
      <c r="AS175" s="179">
        <v>3868551624.8575792</v>
      </c>
      <c r="AT175" s="179">
        <v>3922231976.4393806</v>
      </c>
      <c r="AU175" s="179">
        <v>3557341284.0187964</v>
      </c>
      <c r="AV175" s="179">
        <v>3349169932.3008008</v>
      </c>
      <c r="AW175" s="179">
        <v>4926439274.9748564</v>
      </c>
      <c r="AX175" s="179">
        <v>6609206506.346858</v>
      </c>
      <c r="AY175" s="179">
        <v>7248375216.5947475</v>
      </c>
      <c r="AZ175" s="179">
        <v>8001779551.0632324</v>
      </c>
      <c r="BA175" s="179">
        <v>8839536893.6844254</v>
      </c>
      <c r="BB175" s="179">
        <v>8607431845.1963139</v>
      </c>
      <c r="BC175" s="179">
        <v>8938847363.8781452</v>
      </c>
      <c r="BD175" s="179">
        <v>11431412421.131611</v>
      </c>
      <c r="BE175" s="179">
        <v>12523359440.549862</v>
      </c>
      <c r="BF175" s="179">
        <v>13042053856.969603</v>
      </c>
      <c r="BG175" s="179">
        <v>12043307277.123508</v>
      </c>
      <c r="BH175" s="179">
        <v>12435430396.192894</v>
      </c>
      <c r="BI175" s="179">
        <v>11335161230.160774</v>
      </c>
      <c r="BJ175" s="179">
        <v>10722018975.078331</v>
      </c>
      <c r="BK175" s="179">
        <v>12895153160.46599</v>
      </c>
      <c r="BL175" s="179">
        <v>13682019171.662729</v>
      </c>
      <c r="BM175" s="179">
        <v>12541928102.765705</v>
      </c>
      <c r="BN175" s="179">
        <v>10583748757.334488</v>
      </c>
      <c r="BO175" s="179">
        <v>12446290854.897345</v>
      </c>
      <c r="BP175" s="179">
        <v>12607436975.945955</v>
      </c>
    </row>
    <row r="176" spans="1:68">
      <c r="A176" s="179" t="s">
        <v>828</v>
      </c>
      <c r="B176" s="179">
        <f t="shared" si="2"/>
        <v>0</v>
      </c>
      <c r="C176" s="179" t="s">
        <v>829</v>
      </c>
      <c r="D176" s="179" t="s">
        <v>494</v>
      </c>
      <c r="E176" s="179" t="s">
        <v>495</v>
      </c>
      <c r="BD176" s="179">
        <v>47562842.365835443</v>
      </c>
      <c r="BE176" s="179">
        <v>65071849.57513354</v>
      </c>
      <c r="BF176" s="179">
        <v>101055718.55150288</v>
      </c>
      <c r="BG176" s="179">
        <v>94384979.010946736</v>
      </c>
      <c r="BH176" s="179">
        <v>99149259.836562395</v>
      </c>
      <c r="BI176" s="179">
        <v>84863407.865009338</v>
      </c>
      <c r="BJ176" s="179">
        <v>97541914.583304539</v>
      </c>
      <c r="BK176" s="179">
        <v>109355653.69074246</v>
      </c>
      <c r="BL176" s="179">
        <v>130995580.09215406</v>
      </c>
      <c r="BM176" s="179">
        <v>125160081.80545966</v>
      </c>
      <c r="BN176" s="179">
        <v>124685686.62288938</v>
      </c>
      <c r="BO176" s="179">
        <v>145536603.23479125</v>
      </c>
      <c r="BP176" s="179">
        <v>150922211.04425794</v>
      </c>
    </row>
    <row r="177" spans="1:68">
      <c r="A177" s="179" t="s">
        <v>826</v>
      </c>
      <c r="B177" s="179">
        <f t="shared" si="2"/>
        <v>0</v>
      </c>
      <c r="C177" s="179" t="s">
        <v>827</v>
      </c>
      <c r="D177" s="179" t="s">
        <v>494</v>
      </c>
      <c r="E177" s="179" t="s">
        <v>495</v>
      </c>
      <c r="F177" s="179">
        <v>508334413.96508729</v>
      </c>
      <c r="G177" s="179">
        <v>531959561.16012067</v>
      </c>
      <c r="H177" s="179">
        <v>574091100.69564128</v>
      </c>
      <c r="I177" s="179">
        <v>496947904.44303292</v>
      </c>
      <c r="J177" s="179">
        <v>496098775.30864197</v>
      </c>
      <c r="K177" s="179">
        <v>735267081.6555016</v>
      </c>
      <c r="L177" s="179">
        <v>906811943.82464898</v>
      </c>
      <c r="M177" s="179">
        <v>841974025.46265912</v>
      </c>
      <c r="N177" s="179">
        <v>772231413.8826251</v>
      </c>
      <c r="O177" s="179">
        <v>788641964.64345682</v>
      </c>
      <c r="P177" s="179">
        <v>865975307.77600002</v>
      </c>
      <c r="Q177" s="179">
        <v>882765470.72217286</v>
      </c>
      <c r="R177" s="179">
        <v>1024098397.7993107</v>
      </c>
      <c r="S177" s="179">
        <v>972101724.99536812</v>
      </c>
      <c r="T177" s="179">
        <v>1217953546.9760365</v>
      </c>
      <c r="U177" s="179">
        <v>1575789254.4693801</v>
      </c>
      <c r="V177" s="179">
        <v>1452788944.4562771</v>
      </c>
      <c r="W177" s="179">
        <v>1382400000</v>
      </c>
      <c r="X177" s="179">
        <v>1604162497.4594529</v>
      </c>
      <c r="Y177" s="179">
        <v>1851250008.3333333</v>
      </c>
      <c r="Z177" s="179">
        <v>1945916583.3333333</v>
      </c>
      <c r="AA177" s="179">
        <v>2275583316.6666665</v>
      </c>
      <c r="AB177" s="179">
        <v>2395423680.228518</v>
      </c>
      <c r="AC177" s="179">
        <v>2447174803.5405083</v>
      </c>
      <c r="AD177" s="179">
        <v>2581207387.7970943</v>
      </c>
      <c r="AE177" s="179">
        <v>2619913955.515564</v>
      </c>
      <c r="AF177" s="179">
        <v>2850782092.6938658</v>
      </c>
      <c r="AG177" s="179">
        <v>2957255379.5431495</v>
      </c>
      <c r="AH177" s="179">
        <v>3487009748.3563819</v>
      </c>
      <c r="AI177" s="179">
        <v>3525225832.9905343</v>
      </c>
      <c r="AJ177" s="179">
        <v>3627560281.9050469</v>
      </c>
      <c r="AK177" s="179">
        <v>3921476084.8907189</v>
      </c>
      <c r="AL177" s="179">
        <v>3401211581.2917595</v>
      </c>
      <c r="AM177" s="179">
        <v>3660041666.6666665</v>
      </c>
      <c r="AN177" s="179">
        <v>4066775510.2040815</v>
      </c>
      <c r="AO177" s="179">
        <v>4401104417.6706829</v>
      </c>
      <c r="AP177" s="179">
        <v>4521580381.4713898</v>
      </c>
      <c r="AQ177" s="179">
        <v>4918691916.5351572</v>
      </c>
      <c r="AR177" s="179">
        <v>4856255044.3906374</v>
      </c>
      <c r="AS177" s="179">
        <v>5033642384.1059599</v>
      </c>
      <c r="AT177" s="179">
        <v>5494252207.9050245</v>
      </c>
      <c r="AU177" s="179">
        <v>6007055042.1768703</v>
      </c>
      <c r="AV177" s="179">
        <v>6050875806.664032</v>
      </c>
      <c r="AW177" s="179">
        <v>6330473096.5407085</v>
      </c>
      <c r="AX177" s="179">
        <v>7273938314.7198763</v>
      </c>
      <c r="AY177" s="179">
        <v>8130258415.2921476</v>
      </c>
      <c r="AZ177" s="179">
        <v>9043715355.8880978</v>
      </c>
      <c r="BA177" s="179">
        <v>10325618017.378969</v>
      </c>
      <c r="BB177" s="179">
        <v>12545438605.395878</v>
      </c>
      <c r="BC177" s="179">
        <v>12854985464.076431</v>
      </c>
      <c r="BD177" s="179">
        <v>16002656434.474615</v>
      </c>
      <c r="BE177" s="179">
        <v>21573872273.669529</v>
      </c>
      <c r="BF177" s="179">
        <v>21703100746.820614</v>
      </c>
      <c r="BG177" s="179">
        <v>22162205045.973061</v>
      </c>
      <c r="BH177" s="179">
        <v>22731612827.345818</v>
      </c>
      <c r="BI177" s="179">
        <v>24360801338.054329</v>
      </c>
      <c r="BJ177" s="179">
        <v>24524109484.745346</v>
      </c>
      <c r="BK177" s="179">
        <v>28971588880.820824</v>
      </c>
      <c r="BL177" s="179">
        <v>33111525182.713257</v>
      </c>
      <c r="BM177" s="179">
        <v>34186180694.928478</v>
      </c>
      <c r="BN177" s="179">
        <v>33433659223.178932</v>
      </c>
      <c r="BO177" s="179">
        <v>36924841430.057381</v>
      </c>
      <c r="BP177" s="179">
        <v>40828247302.485085</v>
      </c>
    </row>
    <row r="178" spans="1:68">
      <c r="A178" s="179" t="s">
        <v>822</v>
      </c>
      <c r="B178" s="179">
        <f t="shared" si="2"/>
        <v>1</v>
      </c>
      <c r="C178" s="179" t="s">
        <v>823</v>
      </c>
      <c r="D178" s="179" t="s">
        <v>494</v>
      </c>
      <c r="E178" s="179" t="s">
        <v>495</v>
      </c>
      <c r="F178" s="179">
        <v>12276734172.082758</v>
      </c>
      <c r="G178" s="179">
        <v>13493833739.99494</v>
      </c>
      <c r="H178" s="179">
        <v>14647057370.141788</v>
      </c>
      <c r="I178" s="179">
        <v>15891241386.290953</v>
      </c>
      <c r="J178" s="179">
        <v>18699380731.346462</v>
      </c>
      <c r="K178" s="179">
        <v>21000586933.204056</v>
      </c>
      <c r="L178" s="179">
        <v>22867203317.402157</v>
      </c>
      <c r="M178" s="179">
        <v>25087562181.321754</v>
      </c>
      <c r="N178" s="179">
        <v>27817605743.250271</v>
      </c>
      <c r="O178" s="179">
        <v>34035946604.181541</v>
      </c>
      <c r="P178" s="179">
        <v>38164716625.068481</v>
      </c>
      <c r="Q178" s="179">
        <v>44579122807.01754</v>
      </c>
      <c r="R178" s="179">
        <v>54706557264.487778</v>
      </c>
      <c r="S178" s="179">
        <v>71840909664.196762</v>
      </c>
      <c r="T178" s="179">
        <v>87243413394.540543</v>
      </c>
      <c r="U178" s="179">
        <v>100249523353.0847</v>
      </c>
      <c r="V178" s="179">
        <v>109168720620.10335</v>
      </c>
      <c r="W178" s="179">
        <v>127016990212.80417</v>
      </c>
      <c r="X178" s="179">
        <v>155859695457.32327</v>
      </c>
      <c r="Y178" s="179">
        <v>179669405690.43173</v>
      </c>
      <c r="Z178" s="179">
        <v>195152092662.38086</v>
      </c>
      <c r="AA178" s="179">
        <v>164134217080.27905</v>
      </c>
      <c r="AB178" s="179">
        <v>158479527935.95773</v>
      </c>
      <c r="AC178" s="179">
        <v>153445465987.18246</v>
      </c>
      <c r="AD178" s="179">
        <v>143912664148.35165</v>
      </c>
      <c r="AE178" s="179">
        <v>143845822717.62207</v>
      </c>
      <c r="AF178" s="179">
        <v>200862095700.66562</v>
      </c>
      <c r="AG178" s="179">
        <v>245046310922.54132</v>
      </c>
      <c r="AH178" s="179">
        <v>261910508417.88382</v>
      </c>
      <c r="AI178" s="179">
        <v>258336705808.99927</v>
      </c>
      <c r="AJ178" s="179">
        <v>318330511920.60992</v>
      </c>
      <c r="AK178" s="179">
        <v>327500327675.62469</v>
      </c>
      <c r="AL178" s="179">
        <v>362962872180.45111</v>
      </c>
      <c r="AM178" s="179">
        <v>353550169672.5202</v>
      </c>
      <c r="AN178" s="179">
        <v>379130260322.07288</v>
      </c>
      <c r="AO178" s="179">
        <v>452301674444.1394</v>
      </c>
      <c r="AP178" s="179">
        <v>450490196078.43134</v>
      </c>
      <c r="AQ178" s="179">
        <v>416812740004.51776</v>
      </c>
      <c r="AR178" s="179">
        <v>438008220395.46765</v>
      </c>
      <c r="AS178" s="179">
        <v>447049523049.80792</v>
      </c>
      <c r="AT178" s="179">
        <v>417479337444.70679</v>
      </c>
      <c r="AU178" s="179">
        <v>431586852369.68555</v>
      </c>
      <c r="AV178" s="179">
        <v>473861980070.98126</v>
      </c>
      <c r="AW178" s="179">
        <v>580070360701.95959</v>
      </c>
      <c r="AX178" s="179">
        <v>658380081545.17542</v>
      </c>
      <c r="AY178" s="179">
        <v>685348181515.953</v>
      </c>
      <c r="AZ178" s="179">
        <v>733955269898.82251</v>
      </c>
      <c r="BA178" s="179">
        <v>848558887541.1792</v>
      </c>
      <c r="BB178" s="179">
        <v>951869997864.06226</v>
      </c>
      <c r="BC178" s="179">
        <v>871518638049.21814</v>
      </c>
      <c r="BD178" s="179">
        <v>847380859016.68848</v>
      </c>
      <c r="BE178" s="179">
        <v>905270626332.69287</v>
      </c>
      <c r="BF178" s="179">
        <v>838923319919.53149</v>
      </c>
      <c r="BG178" s="179">
        <v>877172824534.51929</v>
      </c>
      <c r="BH178" s="179">
        <v>892167986713.70813</v>
      </c>
      <c r="BI178" s="179">
        <v>765572770634.37463</v>
      </c>
      <c r="BJ178" s="179">
        <v>784060430240.10144</v>
      </c>
      <c r="BK178" s="179">
        <v>833869641687.06775</v>
      </c>
      <c r="BL178" s="179">
        <v>914043438179.59094</v>
      </c>
      <c r="BM178" s="179">
        <v>910194347568.60974</v>
      </c>
      <c r="BN178" s="179">
        <v>909793466661.46558</v>
      </c>
      <c r="BO178" s="179">
        <v>1011798853061.9993</v>
      </c>
      <c r="BP178" s="179">
        <v>991114635529.18677</v>
      </c>
    </row>
    <row r="179" spans="1:68">
      <c r="A179" s="179" t="s">
        <v>814</v>
      </c>
      <c r="B179" s="179">
        <f t="shared" si="2"/>
        <v>0</v>
      </c>
      <c r="C179" s="179" t="s">
        <v>815</v>
      </c>
      <c r="D179" s="179" t="s">
        <v>494</v>
      </c>
      <c r="E179" s="179" t="s">
        <v>495</v>
      </c>
      <c r="K179" s="179">
        <v>159594492.3058385</v>
      </c>
      <c r="L179" s="179">
        <v>164206536.28278512</v>
      </c>
      <c r="M179" s="179">
        <v>180036767.47082978</v>
      </c>
      <c r="N179" s="179">
        <v>215507162.35582361</v>
      </c>
      <c r="O179" s="179">
        <v>263108841.07809305</v>
      </c>
      <c r="P179" s="179">
        <v>358815683.71662933</v>
      </c>
      <c r="Q179" s="179">
        <v>413985777.67044121</v>
      </c>
      <c r="R179" s="179">
        <v>506808996.96049601</v>
      </c>
      <c r="S179" s="179">
        <v>542293400.02626157</v>
      </c>
      <c r="T179" s="179">
        <v>637403479.72911215</v>
      </c>
      <c r="U179" s="179">
        <v>816652167.28562486</v>
      </c>
      <c r="V179" s="179">
        <v>798313524.68347442</v>
      </c>
      <c r="W179" s="179">
        <v>837620127.3418833</v>
      </c>
      <c r="X179" s="179">
        <v>846004692.25981581</v>
      </c>
      <c r="Y179" s="179">
        <v>1047225724.4519622</v>
      </c>
      <c r="Z179" s="179">
        <v>1182463958.6964798</v>
      </c>
      <c r="AA179" s="179">
        <v>972564156.96709871</v>
      </c>
      <c r="AB179" s="179">
        <v>904599871.51748288</v>
      </c>
      <c r="AC179" s="179">
        <v>823857894.30267465</v>
      </c>
      <c r="AD179" s="179">
        <v>796066192.87269533</v>
      </c>
      <c r="AE179" s="179">
        <v>854820894.09800553</v>
      </c>
      <c r="AF179" s="179">
        <v>1201321509.3307161</v>
      </c>
      <c r="AG179" s="179">
        <v>1488093104.5664821</v>
      </c>
      <c r="AH179" s="179">
        <v>2072775508.2436526</v>
      </c>
      <c r="AI179" s="179">
        <v>2185082943.5457258</v>
      </c>
      <c r="AJ179" s="179">
        <v>2529440424.2942195</v>
      </c>
      <c r="AK179" s="179">
        <v>2653780677.0107298</v>
      </c>
      <c r="AL179" s="179">
        <v>2923883289.637104</v>
      </c>
      <c r="AM179" s="179">
        <v>2822243775.1098957</v>
      </c>
      <c r="AN179" s="179">
        <v>3038728391.4587817</v>
      </c>
      <c r="AO179" s="179">
        <v>3628440524.3927789</v>
      </c>
      <c r="AP179" s="179">
        <v>3606968436.3675838</v>
      </c>
      <c r="AQ179" s="179">
        <v>3291131295.1518378</v>
      </c>
      <c r="AR179" s="179">
        <v>3556304834.3984542</v>
      </c>
      <c r="AS179" s="179">
        <v>3647802046.2205963</v>
      </c>
      <c r="AT179" s="179">
        <v>3420032042.3107953</v>
      </c>
      <c r="AU179" s="179">
        <v>3297734885.7948818</v>
      </c>
      <c r="AV179" s="179">
        <v>3740056751.5258994</v>
      </c>
      <c r="AW179" s="179">
        <v>4915353825.5934343</v>
      </c>
      <c r="AX179" s="179">
        <v>5895008984.5574589</v>
      </c>
      <c r="AY179" s="179">
        <v>6238629461.585741</v>
      </c>
      <c r="AZ179" s="179">
        <v>6979155408.4442949</v>
      </c>
      <c r="BA179" s="179">
        <v>8819917187.1109447</v>
      </c>
      <c r="BB179" s="179">
        <v>9067619728.9959202</v>
      </c>
      <c r="BC179" s="179">
        <v>8704438060.5207195</v>
      </c>
      <c r="BD179" s="179">
        <v>9364350064.9869461</v>
      </c>
      <c r="BE179" s="179">
        <v>10351448025.302691</v>
      </c>
      <c r="BF179" s="179">
        <v>9659151908.6543541</v>
      </c>
      <c r="BG179" s="179">
        <v>10151382876.811338</v>
      </c>
      <c r="BH179" s="179">
        <v>10635035550.010035</v>
      </c>
      <c r="BI179" s="179">
        <v>8738203041.5469742</v>
      </c>
      <c r="BJ179" s="179">
        <v>8724568970.6769695</v>
      </c>
      <c r="BK179" s="179">
        <v>9173669999.5943413</v>
      </c>
      <c r="BL179" s="179">
        <v>9896402295.4832859</v>
      </c>
      <c r="BM179" s="179">
        <v>9475655341.9831638</v>
      </c>
      <c r="BN179" s="179">
        <v>9454629451.0321903</v>
      </c>
      <c r="BO179" s="179">
        <v>10071349707.158087</v>
      </c>
    </row>
    <row r="180" spans="1:68">
      <c r="A180" s="179" t="s">
        <v>830</v>
      </c>
      <c r="B180" s="179">
        <f t="shared" si="2"/>
        <v>0</v>
      </c>
      <c r="C180" s="179" t="s">
        <v>831</v>
      </c>
      <c r="D180" s="179" t="s">
        <v>494</v>
      </c>
      <c r="E180" s="179" t="s">
        <v>495</v>
      </c>
      <c r="F180" s="179">
        <v>5485854791.9709644</v>
      </c>
      <c r="G180" s="179">
        <v>5670064168.2177305</v>
      </c>
      <c r="H180" s="179">
        <v>6077496267.7629433</v>
      </c>
      <c r="I180" s="179">
        <v>6638937283.1396275</v>
      </c>
      <c r="J180" s="179">
        <v>7274144350.8180857</v>
      </c>
      <c r="K180" s="179">
        <v>5654463548.9003077</v>
      </c>
      <c r="L180" s="179">
        <v>5863733192.4996204</v>
      </c>
      <c r="M180" s="179">
        <v>5961418093.5300255</v>
      </c>
      <c r="N180" s="179">
        <v>5180597708.877306</v>
      </c>
      <c r="O180" s="179">
        <v>5761588859.8256092</v>
      </c>
      <c r="Q180" s="179">
        <v>7911136757.0686665</v>
      </c>
      <c r="R180" s="179">
        <v>9567202750.7233124</v>
      </c>
      <c r="S180" s="179">
        <v>12802281897.871157</v>
      </c>
      <c r="T180" s="179">
        <v>13940743959.458288</v>
      </c>
      <c r="U180" s="179">
        <v>12861983284.391235</v>
      </c>
      <c r="V180" s="179">
        <v>13604832424.006235</v>
      </c>
      <c r="W180" s="179">
        <v>15446082335.718678</v>
      </c>
      <c r="X180" s="179">
        <v>18530518394.64883</v>
      </c>
      <c r="Y180" s="179">
        <v>20730291375.987186</v>
      </c>
      <c r="Z180" s="179">
        <v>23244547384.674774</v>
      </c>
      <c r="AA180" s="179">
        <v>24417769672.484058</v>
      </c>
      <c r="AB180" s="179">
        <v>24164603058.994904</v>
      </c>
      <c r="AC180" s="179">
        <v>24308680631.430733</v>
      </c>
      <c r="AD180" s="179">
        <v>21665582141.067741</v>
      </c>
      <c r="AE180" s="179">
        <v>24679290455.61198</v>
      </c>
      <c r="AF180" s="179">
        <v>30604668356.5695</v>
      </c>
      <c r="AG180" s="179">
        <v>40375812560.029541</v>
      </c>
      <c r="AH180" s="179">
        <v>45176423605.594467</v>
      </c>
      <c r="AI180" s="179">
        <v>43920222524.708527</v>
      </c>
      <c r="AJ180" s="179">
        <v>45495129385.047508</v>
      </c>
      <c r="AK180" s="179">
        <v>42744828653.351402</v>
      </c>
      <c r="AL180" s="179">
        <v>41649386969.513298</v>
      </c>
      <c r="AM180" s="179">
        <v>46775038748.757339</v>
      </c>
      <c r="AN180" s="179">
        <v>55313381442.543686</v>
      </c>
      <c r="AO180" s="179">
        <v>63916899263.935493</v>
      </c>
      <c r="AP180" s="179">
        <v>70140835299.014847</v>
      </c>
      <c r="AQ180" s="179">
        <v>66073130218.352776</v>
      </c>
      <c r="AR180" s="179">
        <v>56226503975.820068</v>
      </c>
      <c r="AS180" s="179">
        <v>58762260625.875755</v>
      </c>
      <c r="AT180" s="179">
        <v>52622954598.929878</v>
      </c>
      <c r="AU180" s="179">
        <v>53872463497.170319</v>
      </c>
      <c r="AV180" s="179">
        <v>66627729311.449547</v>
      </c>
      <c r="AW180" s="179">
        <v>88250885550.262619</v>
      </c>
      <c r="AX180" s="179">
        <v>103905628688.94867</v>
      </c>
      <c r="AY180" s="179">
        <v>114720129550.09506</v>
      </c>
      <c r="AZ180" s="179">
        <v>111538810712.66455</v>
      </c>
      <c r="BA180" s="179">
        <v>137188946865.58389</v>
      </c>
      <c r="BB180" s="179">
        <v>133131369930.414</v>
      </c>
      <c r="BC180" s="179">
        <v>121373602348.67886</v>
      </c>
      <c r="BD180" s="179">
        <v>146517541181.254</v>
      </c>
      <c r="BE180" s="179">
        <v>168291357111.73914</v>
      </c>
      <c r="BF180" s="179">
        <v>176206659722.52399</v>
      </c>
      <c r="BG180" s="179">
        <v>190906575136.00269</v>
      </c>
      <c r="BH180" s="179">
        <v>201313497220.91696</v>
      </c>
      <c r="BI180" s="179">
        <v>178064471137.92081</v>
      </c>
      <c r="BJ180" s="179">
        <v>188838342527.97549</v>
      </c>
      <c r="BK180" s="179">
        <v>206556258844.56705</v>
      </c>
      <c r="BL180" s="179">
        <v>211886686924.48343</v>
      </c>
      <c r="BM180" s="179">
        <v>213091987153.09232</v>
      </c>
      <c r="BN180" s="179">
        <v>212569779569.51523</v>
      </c>
      <c r="BO180" s="179">
        <v>255551704625.83112</v>
      </c>
      <c r="BP180" s="179">
        <v>247234053739.26712</v>
      </c>
    </row>
    <row r="181" spans="1:68">
      <c r="A181" s="179" t="s">
        <v>820</v>
      </c>
      <c r="B181" s="179">
        <f t="shared" si="2"/>
        <v>0</v>
      </c>
      <c r="C181" s="179" t="s">
        <v>821</v>
      </c>
      <c r="D181" s="179" t="s">
        <v>494</v>
      </c>
      <c r="E181" s="179" t="s">
        <v>495</v>
      </c>
      <c r="F181" s="179">
        <v>227223322.14153728</v>
      </c>
      <c r="G181" s="179">
        <v>244144236.65330982</v>
      </c>
      <c r="H181" s="179">
        <v>269283803.6868245</v>
      </c>
      <c r="I181" s="179">
        <v>297324163.09551281</v>
      </c>
      <c r="J181" s="179">
        <v>347119918.15857744</v>
      </c>
      <c r="K181" s="179">
        <v>564290020.38428795</v>
      </c>
      <c r="L181" s="179">
        <v>607140010.4756819</v>
      </c>
      <c r="M181" s="179">
        <v>657140010.74755394</v>
      </c>
      <c r="N181" s="179">
        <v>692859984.61215806</v>
      </c>
      <c r="O181" s="179">
        <v>750000002.89490318</v>
      </c>
      <c r="P181" s="179">
        <v>778569938.82422507</v>
      </c>
      <c r="Q181" s="179">
        <v>828569953.47439992</v>
      </c>
      <c r="R181" s="179">
        <v>878570045.45099783</v>
      </c>
      <c r="S181" s="179">
        <v>1092900014.791677</v>
      </c>
      <c r="T181" s="179">
        <v>1521400011.5346324</v>
      </c>
      <c r="U181" s="179">
        <v>1581599958.5988998</v>
      </c>
      <c r="V181" s="179">
        <v>1836899998.9457891</v>
      </c>
      <c r="W181" s="179">
        <v>2226999873.7185588</v>
      </c>
      <c r="X181" s="179">
        <v>2127699978.7807727</v>
      </c>
      <c r="Y181" s="179">
        <v>1567599981.6980588</v>
      </c>
      <c r="Z181" s="179">
        <v>2144300006.1802764</v>
      </c>
      <c r="AA181" s="179">
        <v>2474700227.0466166</v>
      </c>
      <c r="AB181" s="179">
        <v>2454499872.0378914</v>
      </c>
      <c r="AC181" s="179">
        <v>2753100057.788022</v>
      </c>
      <c r="AD181" s="179">
        <v>3117599872.0876446</v>
      </c>
      <c r="AE181" s="179">
        <v>2683699935.3647895</v>
      </c>
      <c r="AF181" s="179">
        <v>2885799993.9157104</v>
      </c>
      <c r="AG181" s="179">
        <v>3851200117.7735519</v>
      </c>
      <c r="AH181" s="179">
        <v>2630900095.6021924</v>
      </c>
      <c r="AI181" s="179">
        <v>1013184755.5702574</v>
      </c>
      <c r="AJ181" s="179">
        <v>1009455476.1073238</v>
      </c>
      <c r="AK181" s="179">
        <v>1488804123.7113404</v>
      </c>
      <c r="AL181" s="179">
        <v>1792800000</v>
      </c>
      <c r="AM181" s="179">
        <v>1756454248.3660131</v>
      </c>
      <c r="AN181" s="179">
        <v>3863185119.0476193</v>
      </c>
      <c r="AO181" s="179">
        <v>4140470000</v>
      </c>
      <c r="AP181" s="179">
        <v>4308351902.7860107</v>
      </c>
      <c r="AQ181" s="179">
        <v>4389973334.9797592</v>
      </c>
      <c r="AR181" s="179">
        <v>4635267224.8419495</v>
      </c>
      <c r="AS181" s="179">
        <v>4855717874.6824722</v>
      </c>
      <c r="AT181" s="179">
        <v>5107329007.0921984</v>
      </c>
      <c r="AU181" s="179">
        <v>5323146565.7031498</v>
      </c>
      <c r="AV181" s="179">
        <v>5224213017.5438595</v>
      </c>
      <c r="AW181" s="179">
        <v>5322454925.8474579</v>
      </c>
      <c r="AX181" s="179">
        <v>5795568204.6453238</v>
      </c>
      <c r="AY181" s="179">
        <v>6321324455.1694059</v>
      </c>
      <c r="AZ181" s="179">
        <v>6763418645.8137703</v>
      </c>
      <c r="BA181" s="179">
        <v>7423365274.8946838</v>
      </c>
      <c r="BB181" s="179">
        <v>8496948184.4204206</v>
      </c>
      <c r="BC181" s="179">
        <v>8298736471.1244106</v>
      </c>
      <c r="BD181" s="179">
        <v>8758619130.5804272</v>
      </c>
      <c r="BE181" s="179">
        <v>9774320144.0004902</v>
      </c>
      <c r="BF181" s="179">
        <v>10531980451.184729</v>
      </c>
      <c r="BG181" s="179">
        <v>10982954744.441486</v>
      </c>
      <c r="BH181" s="179">
        <v>11880433902.936106</v>
      </c>
      <c r="BI181" s="179">
        <v>12756722238.370897</v>
      </c>
      <c r="BJ181" s="179">
        <v>13286066154.960283</v>
      </c>
      <c r="BK181" s="179">
        <v>13785890939.444656</v>
      </c>
      <c r="BL181" s="179">
        <v>13025266513.31674</v>
      </c>
      <c r="BM181" s="179">
        <v>12699028889.666014</v>
      </c>
      <c r="BN181" s="179">
        <v>12678162359.402063</v>
      </c>
      <c r="BO181" s="179">
        <v>14145852100.759087</v>
      </c>
      <c r="BP181" s="179">
        <v>15671583877.971224</v>
      </c>
    </row>
    <row r="182" spans="1:68">
      <c r="A182" s="179" t="s">
        <v>816</v>
      </c>
      <c r="B182" s="179">
        <f t="shared" si="2"/>
        <v>1</v>
      </c>
      <c r="C182" s="179" t="s">
        <v>817</v>
      </c>
      <c r="D182" s="179" t="s">
        <v>494</v>
      </c>
      <c r="E182" s="179" t="s">
        <v>495</v>
      </c>
      <c r="F182" s="179">
        <v>449526872.56556129</v>
      </c>
      <c r="G182" s="179">
        <v>485785231.72935349</v>
      </c>
      <c r="H182" s="179">
        <v>531736599.93073624</v>
      </c>
      <c r="I182" s="179">
        <v>586294879.47189975</v>
      </c>
      <c r="J182" s="179">
        <v>582816396.2164011</v>
      </c>
      <c r="K182" s="179">
        <v>673383510.24212158</v>
      </c>
      <c r="L182" s="179">
        <v>702296079.85769176</v>
      </c>
      <c r="M182" s="179">
        <v>665586872.83916223</v>
      </c>
      <c r="N182" s="179">
        <v>641214226.83901155</v>
      </c>
      <c r="O182" s="179">
        <v>625867984.42817962</v>
      </c>
      <c r="P182" s="179">
        <v>649916621.17985654</v>
      </c>
      <c r="Q182" s="179">
        <v>693573704.42286551</v>
      </c>
      <c r="R182" s="179">
        <v>742779659.45516646</v>
      </c>
      <c r="S182" s="179">
        <v>946385104.96773088</v>
      </c>
      <c r="T182" s="179">
        <v>1026137112.4370686</v>
      </c>
      <c r="U182" s="179">
        <v>1048690931.5405966</v>
      </c>
      <c r="V182" s="179">
        <v>1064517600.1005086</v>
      </c>
      <c r="W182" s="179">
        <v>1291458043.7402987</v>
      </c>
      <c r="X182" s="179">
        <v>1774365587.8685126</v>
      </c>
      <c r="Y182" s="179">
        <v>2109277663.0974798</v>
      </c>
      <c r="Z182" s="179">
        <v>2508524715.7951574</v>
      </c>
      <c r="AA182" s="179">
        <v>2170893417.9812899</v>
      </c>
      <c r="AB182" s="179">
        <v>2017612217.8275211</v>
      </c>
      <c r="AC182" s="179">
        <v>1803099561.0839307</v>
      </c>
      <c r="AD182" s="179">
        <v>1461243326.8377507</v>
      </c>
      <c r="AE182" s="179">
        <v>1440581653.3232758</v>
      </c>
      <c r="AF182" s="179">
        <v>1904097000.7496278</v>
      </c>
      <c r="AG182" s="179">
        <v>2233006101.9447513</v>
      </c>
      <c r="AH182" s="179">
        <v>2280356194.1455908</v>
      </c>
      <c r="AI182" s="179">
        <v>2179567111.0004029</v>
      </c>
      <c r="AJ182" s="179">
        <v>3512356508.4743462</v>
      </c>
      <c r="AK182" s="179">
        <v>3285796877.1979942</v>
      </c>
      <c r="AL182" s="179">
        <v>3386232582.4160967</v>
      </c>
      <c r="AM182" s="179">
        <v>3052673843.8612967</v>
      </c>
      <c r="AN182" s="179">
        <v>1938058176.4158549</v>
      </c>
      <c r="AO182" s="179">
        <v>2302537562.6993108</v>
      </c>
      <c r="AP182" s="179">
        <v>2405686938.7648335</v>
      </c>
      <c r="AQ182" s="179">
        <v>2290318908.8198557</v>
      </c>
      <c r="AR182" s="179">
        <v>2643363520.9313488</v>
      </c>
      <c r="AS182" s="179">
        <v>2537789819.3769379</v>
      </c>
      <c r="AT182" s="179">
        <v>2241753192.7125664</v>
      </c>
      <c r="AU182" s="179">
        <v>2448714703.0961165</v>
      </c>
      <c r="AV182" s="179">
        <v>2782192880.6918721</v>
      </c>
      <c r="AW182" s="179">
        <v>3394084731.4860058</v>
      </c>
      <c r="AX182" s="179">
        <v>3760443735.4587479</v>
      </c>
      <c r="AY182" s="179">
        <v>4383315967.499979</v>
      </c>
      <c r="AZ182" s="179">
        <v>4756361253.3335829</v>
      </c>
      <c r="BA182" s="179">
        <v>5731485046.0863953</v>
      </c>
      <c r="BB182" s="179">
        <v>7297600218.9239397</v>
      </c>
      <c r="BC182" s="179">
        <v>7352131304.3963127</v>
      </c>
      <c r="BD182" s="179">
        <v>7851192498.7715406</v>
      </c>
      <c r="BE182" s="179">
        <v>8772950783.0241432</v>
      </c>
      <c r="BF182" s="179">
        <v>9426912639.2038155</v>
      </c>
      <c r="BG182" s="179">
        <v>10224897440.92387</v>
      </c>
      <c r="BH182" s="179">
        <v>10862943546.285133</v>
      </c>
      <c r="BI182" s="179">
        <v>9683867926.7276649</v>
      </c>
      <c r="BJ182" s="179">
        <v>10398861980.652416</v>
      </c>
      <c r="BK182" s="179">
        <v>11185101444.372858</v>
      </c>
      <c r="BL182" s="179">
        <v>12808661487.40345</v>
      </c>
      <c r="BM182" s="179">
        <v>12916454870.545797</v>
      </c>
      <c r="BN182" s="179">
        <v>13744174582.253189</v>
      </c>
      <c r="BO182" s="179">
        <v>14915002098.497534</v>
      </c>
      <c r="BP182" s="179">
        <v>13969605582.520235</v>
      </c>
    </row>
    <row r="183" spans="1:68">
      <c r="A183" s="179" t="s">
        <v>818</v>
      </c>
      <c r="B183" s="179">
        <f t="shared" si="2"/>
        <v>1</v>
      </c>
      <c r="C183" s="179" t="s">
        <v>819</v>
      </c>
      <c r="D183" s="179" t="s">
        <v>494</v>
      </c>
      <c r="E183" s="179" t="s">
        <v>495</v>
      </c>
      <c r="F183" s="179">
        <v>4196174503.2086668</v>
      </c>
      <c r="G183" s="179">
        <v>4467287894.8717556</v>
      </c>
      <c r="H183" s="179">
        <v>4909399178.2040863</v>
      </c>
      <c r="I183" s="179">
        <v>5165590255.8301315</v>
      </c>
      <c r="J183" s="179">
        <v>5552931321.0486422</v>
      </c>
      <c r="K183" s="179">
        <v>5874537652.5347528</v>
      </c>
      <c r="L183" s="179">
        <v>6366917455.7797823</v>
      </c>
      <c r="M183" s="179">
        <v>5203237920.7861252</v>
      </c>
      <c r="N183" s="179">
        <v>5200997921.6812286</v>
      </c>
      <c r="O183" s="179">
        <v>6634317348.9267855</v>
      </c>
      <c r="P183" s="179">
        <v>12546094986.580439</v>
      </c>
      <c r="Q183" s="179">
        <v>9181769911.504425</v>
      </c>
      <c r="R183" s="179">
        <v>12274416017.797552</v>
      </c>
      <c r="S183" s="179">
        <v>15162871287.128712</v>
      </c>
      <c r="T183" s="179">
        <v>24846641318.124207</v>
      </c>
      <c r="U183" s="179">
        <v>27778934624.697338</v>
      </c>
      <c r="V183" s="179">
        <v>36308883248.730965</v>
      </c>
      <c r="W183" s="179">
        <v>36035407725.321884</v>
      </c>
      <c r="X183" s="179">
        <v>36527862208.713272</v>
      </c>
      <c r="Y183" s="179">
        <v>47259911894.273125</v>
      </c>
      <c r="Z183" s="179">
        <v>64201788122.605362</v>
      </c>
      <c r="AA183" s="179">
        <v>164475209515.9386</v>
      </c>
      <c r="AB183" s="179">
        <v>142769363314.17624</v>
      </c>
      <c r="AC183" s="179">
        <v>97094911792.048935</v>
      </c>
      <c r="AD183" s="179">
        <v>73484359521.488693</v>
      </c>
      <c r="AE183" s="179">
        <v>73745821158.225357</v>
      </c>
      <c r="AF183" s="179">
        <v>54805852580.912857</v>
      </c>
      <c r="AG183" s="179">
        <v>52676041931.108727</v>
      </c>
      <c r="AH183" s="179">
        <v>49648470440.459335</v>
      </c>
      <c r="AI183" s="179">
        <v>44003061108.400505</v>
      </c>
      <c r="AJ183" s="179">
        <v>54035795387.808609</v>
      </c>
      <c r="AK183" s="179">
        <v>49118434950.41877</v>
      </c>
      <c r="AL183" s="179">
        <v>47794954191.500999</v>
      </c>
      <c r="AM183" s="179">
        <v>27752204787.489037</v>
      </c>
      <c r="AN183" s="179">
        <v>33833043777.737209</v>
      </c>
      <c r="AO183" s="179">
        <v>44062465417.942062</v>
      </c>
      <c r="AP183" s="179">
        <v>51075815092.5</v>
      </c>
      <c r="AQ183" s="179">
        <v>54457835603.135658</v>
      </c>
      <c r="AR183" s="179">
        <v>54604050168.181816</v>
      </c>
      <c r="AS183" s="179">
        <v>59372679433.174583</v>
      </c>
      <c r="AT183" s="179">
        <v>69448962760.878677</v>
      </c>
      <c r="AU183" s="179">
        <v>74030562269.965515</v>
      </c>
      <c r="AV183" s="179">
        <v>95054094655.327728</v>
      </c>
      <c r="AW183" s="179">
        <v>104738980156.95811</v>
      </c>
      <c r="AX183" s="179">
        <v>135764715375.2057</v>
      </c>
      <c r="AY183" s="179">
        <v>175670536601.00577</v>
      </c>
      <c r="AZ183" s="179">
        <v>238454952231.57196</v>
      </c>
      <c r="BA183" s="179">
        <v>278260808841.03009</v>
      </c>
      <c r="BB183" s="179">
        <v>339476215683.59222</v>
      </c>
      <c r="BC183" s="179">
        <v>295008767295.03827</v>
      </c>
      <c r="BD183" s="179">
        <v>366990528103.07831</v>
      </c>
      <c r="BE183" s="179">
        <v>414466540786.7381</v>
      </c>
      <c r="BF183" s="179">
        <v>463971000388.61194</v>
      </c>
      <c r="BG183" s="179">
        <v>520117163617.72113</v>
      </c>
      <c r="BH183" s="179">
        <v>574183825592.35791</v>
      </c>
      <c r="BI183" s="179">
        <v>493026782401.56067</v>
      </c>
      <c r="BJ183" s="179">
        <v>404649048648.026</v>
      </c>
      <c r="BK183" s="179">
        <v>375745732274.67621</v>
      </c>
      <c r="BL183" s="179">
        <v>421739210176.15198</v>
      </c>
      <c r="BM183" s="179">
        <v>474517470742.74933</v>
      </c>
      <c r="BN183" s="179">
        <v>432198936002.17651</v>
      </c>
      <c r="BO183" s="179">
        <v>440833583992.48505</v>
      </c>
      <c r="BP183" s="179">
        <v>477386120635.84479</v>
      </c>
    </row>
    <row r="184" spans="1:68">
      <c r="A184" s="179" t="s">
        <v>810</v>
      </c>
      <c r="B184" s="179">
        <f t="shared" si="2"/>
        <v>0</v>
      </c>
      <c r="C184" s="179" t="s">
        <v>811</v>
      </c>
      <c r="D184" s="179" t="s">
        <v>494</v>
      </c>
      <c r="E184" s="179" t="s">
        <v>495</v>
      </c>
      <c r="F184" s="179">
        <v>583846865155.96265</v>
      </c>
      <c r="G184" s="179">
        <v>604324383529.85474</v>
      </c>
      <c r="H184" s="179">
        <v>647421507831.2677</v>
      </c>
      <c r="I184" s="179">
        <v>683726091142.69226</v>
      </c>
      <c r="J184" s="179">
        <v>735285529799.61182</v>
      </c>
      <c r="K184" s="179">
        <v>798329454784.96692</v>
      </c>
      <c r="L184" s="179">
        <v>876221164375.33325</v>
      </c>
      <c r="M184" s="179">
        <v>927523614111.88623</v>
      </c>
      <c r="N184" s="179">
        <v>1014480047239.0138</v>
      </c>
      <c r="O184" s="179">
        <v>1099212903144.7059</v>
      </c>
      <c r="P184" s="179">
        <v>1161681557632.3091</v>
      </c>
      <c r="Q184" s="179">
        <v>1264666514680.0417</v>
      </c>
      <c r="R184" s="179">
        <v>1392809248873.6233</v>
      </c>
      <c r="S184" s="179">
        <v>1557411142644.9717</v>
      </c>
      <c r="T184" s="179">
        <v>1706501904010.365</v>
      </c>
      <c r="U184" s="179">
        <v>1859675742591.4978</v>
      </c>
      <c r="V184" s="179">
        <v>2081063962814.8154</v>
      </c>
      <c r="W184" s="179">
        <v>2294598176304.6548</v>
      </c>
      <c r="X184" s="179">
        <v>2571452194594.9756</v>
      </c>
      <c r="Y184" s="179">
        <v>2871736224251.8345</v>
      </c>
      <c r="Z184" s="179">
        <v>3132690552139.7622</v>
      </c>
      <c r="AA184" s="179">
        <v>3515025943002.167</v>
      </c>
      <c r="AB184" s="179">
        <v>3659213403680.7598</v>
      </c>
      <c r="AC184" s="179">
        <v>3976790396303.0669</v>
      </c>
      <c r="AD184" s="179">
        <v>4395326572390.4097</v>
      </c>
      <c r="AE184" s="179">
        <v>4706202530269.7969</v>
      </c>
      <c r="AF184" s="179">
        <v>4959819231231.833</v>
      </c>
      <c r="AG184" s="179">
        <v>5289651428003.9336</v>
      </c>
      <c r="AH184" s="179">
        <v>5747232777228.0742</v>
      </c>
      <c r="AI184" s="179">
        <v>6210306867066.4687</v>
      </c>
      <c r="AJ184" s="179">
        <v>6560825464840.252</v>
      </c>
      <c r="AK184" s="179">
        <v>6772277795512.6133</v>
      </c>
      <c r="AL184" s="179">
        <v>7116382987449.3926</v>
      </c>
      <c r="AM184" s="179">
        <v>7439438360930.9258</v>
      </c>
      <c r="AN184" s="179">
        <v>7869047506907.2686</v>
      </c>
      <c r="AO184" s="179">
        <v>8247720786992.1357</v>
      </c>
      <c r="AP184" s="179">
        <v>8706415377889.2852</v>
      </c>
      <c r="AQ184" s="179">
        <v>9235475216556.6074</v>
      </c>
      <c r="AR184" s="179">
        <v>9699946684246.9473</v>
      </c>
      <c r="AS184" s="179">
        <v>10312908917711.895</v>
      </c>
      <c r="AT184" s="179">
        <v>10999201631931.59</v>
      </c>
      <c r="AU184" s="179">
        <v>11324572986044.527</v>
      </c>
      <c r="AV184" s="179">
        <v>11693699517098.008</v>
      </c>
      <c r="AW184" s="179">
        <v>12356169212634.789</v>
      </c>
      <c r="AX184" s="179">
        <v>13248368139278.25</v>
      </c>
      <c r="AY184" s="179">
        <v>14217175927778.678</v>
      </c>
      <c r="AZ184" s="179">
        <v>15140995757590.977</v>
      </c>
      <c r="BA184" s="179">
        <v>15949814312783.264</v>
      </c>
      <c r="BB184" s="179">
        <v>16329827601721.654</v>
      </c>
      <c r="BC184" s="179">
        <v>15859346076157.295</v>
      </c>
      <c r="BD184" s="179">
        <v>16672942337486.26</v>
      </c>
      <c r="BE184" s="179">
        <v>17399367444174.521</v>
      </c>
      <c r="BF184" s="179">
        <v>18088716899521.598</v>
      </c>
      <c r="BG184" s="179">
        <v>18696254170834.988</v>
      </c>
      <c r="BH184" s="179">
        <v>19362844040439.945</v>
      </c>
      <c r="BI184" s="179">
        <v>19769184098217.141</v>
      </c>
      <c r="BJ184" s="179">
        <v>20230005494907.426</v>
      </c>
      <c r="BK184" s="179">
        <v>21133744509244.094</v>
      </c>
      <c r="BL184" s="179">
        <v>22265581227435.762</v>
      </c>
      <c r="BM184" s="179">
        <v>23132124767672.52</v>
      </c>
      <c r="BN184" s="179">
        <v>22714959162302.68</v>
      </c>
      <c r="BO184" s="179">
        <v>25323694505423.922</v>
      </c>
      <c r="BP184" s="179">
        <v>27610090523673.809</v>
      </c>
    </row>
    <row r="185" spans="1:68">
      <c r="A185" s="179" t="s">
        <v>786</v>
      </c>
      <c r="B185" s="179">
        <f t="shared" si="2"/>
        <v>1</v>
      </c>
      <c r="C185" s="179" t="s">
        <v>787</v>
      </c>
      <c r="D185" s="179" t="s">
        <v>494</v>
      </c>
      <c r="E185" s="179" t="s">
        <v>495</v>
      </c>
      <c r="AJ185" s="179">
        <v>4699646643.1095409</v>
      </c>
      <c r="AK185" s="179">
        <v>4938775510.2040815</v>
      </c>
      <c r="AL185" s="179">
        <v>2436849341.9760361</v>
      </c>
      <c r="AM185" s="179">
        <v>2682456896.5517244</v>
      </c>
      <c r="AN185" s="179">
        <v>3559608612.5577931</v>
      </c>
      <c r="AO185" s="179">
        <v>4707041273.8233109</v>
      </c>
      <c r="AP185" s="179">
        <v>4642021256.3068905</v>
      </c>
      <c r="AQ185" s="179">
        <v>3912986090.9736319</v>
      </c>
      <c r="AR185" s="179">
        <v>3765745000.1591353</v>
      </c>
      <c r="AS185" s="179">
        <v>3863619262.1461482</v>
      </c>
      <c r="AT185" s="179">
        <v>3772859053.2877159</v>
      </c>
      <c r="AU185" s="179">
        <v>3709636012.49122</v>
      </c>
      <c r="AV185" s="179">
        <v>4018365767.8249388</v>
      </c>
      <c r="AW185" s="179">
        <v>4946296568.7331085</v>
      </c>
      <c r="AX185" s="179">
        <v>5682784433.3595581</v>
      </c>
      <c r="AY185" s="179">
        <v>6258602830.3485203</v>
      </c>
      <c r="AZ185" s="179">
        <v>6861227018.4207764</v>
      </c>
      <c r="BA185" s="179">
        <v>8336475035.8541536</v>
      </c>
      <c r="BB185" s="179">
        <v>9909552355.6155777</v>
      </c>
      <c r="BC185" s="179">
        <v>9401736825.4268799</v>
      </c>
      <c r="BD185" s="179">
        <v>9407170388.8336182</v>
      </c>
      <c r="BE185" s="179">
        <v>10494626767.64451</v>
      </c>
      <c r="BF185" s="179">
        <v>9745261300.5778828</v>
      </c>
      <c r="BG185" s="179">
        <v>10817702423.788588</v>
      </c>
      <c r="BH185" s="179">
        <v>11362265293.558107</v>
      </c>
      <c r="BI185" s="179">
        <v>10064519962.565548</v>
      </c>
      <c r="BJ185" s="179">
        <v>10672467073.287252</v>
      </c>
      <c r="BK185" s="179">
        <v>11307067000.718773</v>
      </c>
      <c r="BL185" s="179">
        <v>12683068033.104256</v>
      </c>
      <c r="BM185" s="179">
        <v>12606338448.546968</v>
      </c>
      <c r="BN185" s="179">
        <v>12363580534.68112</v>
      </c>
      <c r="BO185" s="179">
        <v>13825049831.79586</v>
      </c>
      <c r="BP185" s="179">
        <v>13563132057.248617</v>
      </c>
    </row>
    <row r="186" spans="1:68">
      <c r="A186" s="179" t="s">
        <v>798</v>
      </c>
      <c r="B186" s="179">
        <f t="shared" si="2"/>
        <v>0</v>
      </c>
      <c r="C186" s="179" t="s">
        <v>799</v>
      </c>
      <c r="D186" s="179" t="s">
        <v>494</v>
      </c>
      <c r="E186" s="179" t="s">
        <v>495</v>
      </c>
      <c r="AV186" s="179">
        <v>1284000000</v>
      </c>
      <c r="AW186" s="179">
        <v>1239000000</v>
      </c>
      <c r="AX186" s="179">
        <v>1210000000</v>
      </c>
      <c r="AY186" s="179">
        <v>1061000000</v>
      </c>
      <c r="AZ186" s="179">
        <v>990000000</v>
      </c>
      <c r="BA186" s="179">
        <v>938000000</v>
      </c>
      <c r="BB186" s="179">
        <v>939000000</v>
      </c>
      <c r="BC186" s="179">
        <v>795000000</v>
      </c>
      <c r="BD186" s="179">
        <v>799000000</v>
      </c>
      <c r="BE186" s="179">
        <v>729000000</v>
      </c>
      <c r="BF186" s="179">
        <v>746000000</v>
      </c>
      <c r="BG186" s="179">
        <v>772000000</v>
      </c>
      <c r="BH186" s="179">
        <v>832000000</v>
      </c>
      <c r="BI186" s="179">
        <v>910000000</v>
      </c>
      <c r="BJ186" s="179">
        <v>1230000000</v>
      </c>
      <c r="BK186" s="179">
        <v>1560000000</v>
      </c>
      <c r="BL186" s="179">
        <v>1301000000</v>
      </c>
      <c r="BM186" s="179">
        <v>1181000000</v>
      </c>
      <c r="BN186" s="179">
        <v>858000000</v>
      </c>
    </row>
    <row r="187" spans="1:68">
      <c r="A187" s="179" t="s">
        <v>824</v>
      </c>
      <c r="B187" s="179">
        <f t="shared" si="2"/>
        <v>1</v>
      </c>
      <c r="C187" s="179" t="s">
        <v>825</v>
      </c>
      <c r="D187" s="179" t="s">
        <v>494</v>
      </c>
      <c r="E187" s="179" t="s">
        <v>495</v>
      </c>
      <c r="F187" s="179">
        <v>5163271598.1570234</v>
      </c>
      <c r="G187" s="179">
        <v>5632460936.5457554</v>
      </c>
      <c r="H187" s="179">
        <v>6066976682.6736364</v>
      </c>
      <c r="I187" s="179">
        <v>6510239502.7648907</v>
      </c>
      <c r="J187" s="179">
        <v>7159202706.4802685</v>
      </c>
      <c r="K187" s="179">
        <v>8058680980.7971382</v>
      </c>
      <c r="L187" s="179">
        <v>8696460119.6969929</v>
      </c>
      <c r="M187" s="179">
        <v>9514496609.698885</v>
      </c>
      <c r="N187" s="179">
        <v>10159934036.728838</v>
      </c>
      <c r="O187" s="179">
        <v>11063064974.53977</v>
      </c>
      <c r="P187" s="179">
        <v>12814194863.301842</v>
      </c>
      <c r="Q187" s="179">
        <v>14583103533.035072</v>
      </c>
      <c r="R187" s="179">
        <v>17358481291.416187</v>
      </c>
      <c r="S187" s="179">
        <v>22534123432.149303</v>
      </c>
      <c r="T187" s="179">
        <v>27145652980.011719</v>
      </c>
      <c r="U187" s="179">
        <v>32877543120.252426</v>
      </c>
      <c r="V187" s="179">
        <v>35942160908.994209</v>
      </c>
      <c r="W187" s="179">
        <v>41508030438.904488</v>
      </c>
      <c r="X187" s="179">
        <v>46522900253.705437</v>
      </c>
      <c r="Y187" s="179">
        <v>53132594368.12294</v>
      </c>
      <c r="Z187" s="179">
        <v>64439056747.655563</v>
      </c>
      <c r="AA187" s="179">
        <v>63596562434.400764</v>
      </c>
      <c r="AB187" s="179">
        <v>62646871991.56813</v>
      </c>
      <c r="AC187" s="179">
        <v>61627522382.595993</v>
      </c>
      <c r="AD187" s="179">
        <v>62058271862.754585</v>
      </c>
      <c r="AE187" s="179">
        <v>65416626280.89901</v>
      </c>
      <c r="AF187" s="179">
        <v>78692674637.044983</v>
      </c>
      <c r="AG187" s="179">
        <v>94230606535.113434</v>
      </c>
      <c r="AH187" s="179">
        <v>101900521458.03662</v>
      </c>
      <c r="AI187" s="179">
        <v>102633934390.61482</v>
      </c>
      <c r="AJ187" s="179">
        <v>119791045690.1176</v>
      </c>
      <c r="AK187" s="179">
        <v>121871665528.42325</v>
      </c>
      <c r="AL187" s="179">
        <v>130838022522.86026</v>
      </c>
      <c r="AM187" s="179">
        <v>120578717965.73569</v>
      </c>
      <c r="AN187" s="179">
        <v>127131604641.38986</v>
      </c>
      <c r="AO187" s="179">
        <v>152030652228.01639</v>
      </c>
      <c r="AP187" s="179">
        <v>163519897878.10242</v>
      </c>
      <c r="AQ187" s="179">
        <v>161356612878.69434</v>
      </c>
      <c r="AR187" s="179">
        <v>154230346261.26434</v>
      </c>
      <c r="AS187" s="179">
        <v>162384295939.11996</v>
      </c>
      <c r="AT187" s="179">
        <v>171456390281.95798</v>
      </c>
      <c r="AU187" s="179">
        <v>174240242224.61841</v>
      </c>
      <c r="AV187" s="179">
        <v>195915371987.69687</v>
      </c>
      <c r="AW187" s="179">
        <v>229384929368.92221</v>
      </c>
      <c r="AX187" s="179">
        <v>265267350723.20447</v>
      </c>
      <c r="AY187" s="179">
        <v>309978579743.88824</v>
      </c>
      <c r="AZ187" s="179">
        <v>346913357588.35773</v>
      </c>
      <c r="BA187" s="179">
        <v>402645550184.81641</v>
      </c>
      <c r="BB187" s="179">
        <v>464917553191.48938</v>
      </c>
      <c r="BC187" s="179">
        <v>387974344023.32379</v>
      </c>
      <c r="BD187" s="179">
        <v>431052143940.43817</v>
      </c>
      <c r="BE187" s="179">
        <v>501360549669.40381</v>
      </c>
      <c r="BF187" s="179">
        <v>512777309840.99701</v>
      </c>
      <c r="BG187" s="179">
        <v>526014468085.10638</v>
      </c>
      <c r="BH187" s="179">
        <v>501736471832.84814</v>
      </c>
      <c r="BI187" s="179">
        <v>388159512245.53046</v>
      </c>
      <c r="BJ187" s="179">
        <v>370956547619.04761</v>
      </c>
      <c r="BK187" s="179">
        <v>401745275035.26074</v>
      </c>
      <c r="BL187" s="179">
        <v>439788625883.79956</v>
      </c>
      <c r="BM187" s="179">
        <v>408742840909.09088</v>
      </c>
      <c r="BN187" s="179">
        <v>367633418886.62726</v>
      </c>
      <c r="BO187" s="179">
        <v>490293364377.1828</v>
      </c>
      <c r="BP187" s="179">
        <v>579267365866.3429</v>
      </c>
    </row>
    <row r="188" spans="1:68">
      <c r="A188" s="179" t="s">
        <v>698</v>
      </c>
      <c r="B188" s="179">
        <f t="shared" si="2"/>
        <v>0</v>
      </c>
      <c r="C188" s="179" t="s">
        <v>699</v>
      </c>
      <c r="D188" s="179" t="s">
        <v>494</v>
      </c>
      <c r="E188" s="179" t="s">
        <v>495</v>
      </c>
    </row>
    <row r="189" spans="1:68">
      <c r="A189" s="179" t="s">
        <v>832</v>
      </c>
      <c r="B189" s="179">
        <f t="shared" si="2"/>
        <v>0</v>
      </c>
      <c r="C189" s="179" t="s">
        <v>833</v>
      </c>
      <c r="D189" s="179" t="s">
        <v>494</v>
      </c>
      <c r="E189" s="179" t="s">
        <v>495</v>
      </c>
      <c r="F189" s="179">
        <v>1074536963868.012</v>
      </c>
      <c r="G189" s="179">
        <v>1137842040851.9565</v>
      </c>
      <c r="H189" s="179">
        <v>1227852102269.1248</v>
      </c>
      <c r="I189" s="179">
        <v>1323009087447.2461</v>
      </c>
      <c r="J189" s="179">
        <v>1446027927230.7034</v>
      </c>
      <c r="K189" s="179">
        <v>1569569743833.1243</v>
      </c>
      <c r="L189" s="179">
        <v>1722667267357.0435</v>
      </c>
      <c r="M189" s="179">
        <v>1849091101785.864</v>
      </c>
      <c r="N189" s="179">
        <v>2005166564863.8989</v>
      </c>
      <c r="O189" s="179">
        <v>2205629988354.1006</v>
      </c>
      <c r="P189" s="179">
        <v>2404686247123.1479</v>
      </c>
      <c r="Q189" s="179">
        <v>2662824955390.3765</v>
      </c>
      <c r="R189" s="179">
        <v>3088752725507.6421</v>
      </c>
      <c r="S189" s="179">
        <v>3731756890937.9263</v>
      </c>
      <c r="T189" s="179">
        <v>4181384546714.5723</v>
      </c>
      <c r="U189" s="179">
        <v>4686670470383.0283</v>
      </c>
      <c r="V189" s="179">
        <v>5082767159669.0801</v>
      </c>
      <c r="W189" s="179">
        <v>5734505486703.2187</v>
      </c>
      <c r="X189" s="179">
        <v>6889276867199.6357</v>
      </c>
      <c r="Y189" s="179">
        <v>7957663433300.5645</v>
      </c>
      <c r="Z189" s="179">
        <v>8844458238434.8984</v>
      </c>
      <c r="AA189" s="179">
        <v>9003003819108.5234</v>
      </c>
      <c r="AB189" s="179">
        <v>8868580154612.2285</v>
      </c>
      <c r="AC189" s="179">
        <v>9158864455518.7754</v>
      </c>
      <c r="AD189" s="179">
        <v>9578521106787.2266</v>
      </c>
      <c r="AE189" s="179">
        <v>10088394120629.854</v>
      </c>
      <c r="AF189" s="179">
        <v>12218980287920.986</v>
      </c>
      <c r="AG189" s="179">
        <v>14150712774129.512</v>
      </c>
      <c r="AH189" s="179">
        <v>15950200829698.418</v>
      </c>
      <c r="AI189" s="179">
        <v>16691782038666.23</v>
      </c>
      <c r="AJ189" s="179">
        <v>18803260663340.531</v>
      </c>
      <c r="AK189" s="179">
        <v>19902760618767.793</v>
      </c>
      <c r="AL189" s="179">
        <v>21404714023723.016</v>
      </c>
      <c r="AM189" s="179">
        <v>21696329187635.875</v>
      </c>
      <c r="AN189" s="179">
        <v>23279672410310.129</v>
      </c>
      <c r="AO189" s="179">
        <v>25663192019641.266</v>
      </c>
      <c r="AP189" s="179">
        <v>25880226257352.707</v>
      </c>
      <c r="AQ189" s="179">
        <v>25485456595205.457</v>
      </c>
      <c r="AR189" s="179">
        <v>25745258707977.09</v>
      </c>
      <c r="AS189" s="179">
        <v>27041441623625.871</v>
      </c>
      <c r="AT189" s="179">
        <v>27635544739434.926</v>
      </c>
      <c r="AU189" s="179">
        <v>27374583037446.773</v>
      </c>
      <c r="AV189" s="179">
        <v>28563009910366.594</v>
      </c>
      <c r="AW189" s="179">
        <v>31951205451316.277</v>
      </c>
      <c r="AX189" s="179">
        <v>35572822806797.969</v>
      </c>
      <c r="AY189" s="179">
        <v>37609340450462.875</v>
      </c>
      <c r="AZ189" s="179">
        <v>39674408824856.531</v>
      </c>
      <c r="BA189" s="179">
        <v>43436115388658.289</v>
      </c>
      <c r="BB189" s="179">
        <v>46122698414753.953</v>
      </c>
      <c r="BC189" s="179">
        <v>43144826371455.578</v>
      </c>
      <c r="BD189" s="179">
        <v>45255639867938.531</v>
      </c>
      <c r="BE189" s="179">
        <v>48674651671113.031</v>
      </c>
      <c r="BF189" s="179">
        <v>48622412695259.984</v>
      </c>
      <c r="BG189" s="179">
        <v>49270437358352.687</v>
      </c>
      <c r="BH189" s="179">
        <v>50278943454195.937</v>
      </c>
      <c r="BI189" s="179">
        <v>47411160772825.297</v>
      </c>
      <c r="BJ189" s="179">
        <v>48327404425594.195</v>
      </c>
      <c r="BK189" s="179">
        <v>50447226919268.781</v>
      </c>
      <c r="BL189" s="179">
        <v>53371534234287.047</v>
      </c>
      <c r="BM189" s="179">
        <v>53878159069137.102</v>
      </c>
      <c r="BN189" s="179">
        <v>52536127270671.687</v>
      </c>
      <c r="BO189" s="179">
        <v>58363931312919.008</v>
      </c>
      <c r="BP189" s="179">
        <v>59596537275134.07</v>
      </c>
    </row>
    <row r="190" spans="1:68">
      <c r="A190" s="179" t="s">
        <v>834</v>
      </c>
      <c r="B190" s="179">
        <f t="shared" si="2"/>
        <v>1</v>
      </c>
      <c r="C190" s="179" t="s">
        <v>835</v>
      </c>
      <c r="D190" s="179" t="s">
        <v>494</v>
      </c>
      <c r="E190" s="179" t="s">
        <v>495</v>
      </c>
      <c r="K190" s="179">
        <v>63279974.801914006</v>
      </c>
      <c r="L190" s="179">
        <v>67759973.017978713</v>
      </c>
      <c r="M190" s="179">
        <v>107151734.04886472</v>
      </c>
      <c r="N190" s="179">
        <v>188879849.16055229</v>
      </c>
      <c r="O190" s="179">
        <v>239999808.33615285</v>
      </c>
      <c r="P190" s="179">
        <v>256319795.30301127</v>
      </c>
      <c r="Q190" s="179">
        <v>301010587.10298359</v>
      </c>
      <c r="R190" s="179">
        <v>366883549.30358195</v>
      </c>
      <c r="S190" s="179">
        <v>483066762.40158874</v>
      </c>
      <c r="T190" s="179">
        <v>1645917781.2562761</v>
      </c>
      <c r="U190" s="179">
        <v>2096699195.4160371</v>
      </c>
      <c r="V190" s="179">
        <v>2560220042.1546612</v>
      </c>
      <c r="W190" s="179">
        <v>2741169955.8227272</v>
      </c>
      <c r="X190" s="179">
        <v>2740301397.6268134</v>
      </c>
      <c r="Y190" s="179">
        <v>3733352645.4352999</v>
      </c>
      <c r="Z190" s="179">
        <v>5981760295.256978</v>
      </c>
      <c r="AA190" s="179">
        <v>7259120171.5666475</v>
      </c>
      <c r="AB190" s="179">
        <v>7554719477.5759106</v>
      </c>
      <c r="AC190" s="179">
        <v>7932541713.7595301</v>
      </c>
      <c r="AD190" s="179">
        <v>8821430391.5795536</v>
      </c>
      <c r="AE190" s="179">
        <v>10005645420.460632</v>
      </c>
      <c r="AF190" s="179">
        <v>7324168966.986433</v>
      </c>
      <c r="AG190" s="179">
        <v>7811183094.9284782</v>
      </c>
      <c r="AH190" s="179">
        <v>8386215864.759428</v>
      </c>
      <c r="AI190" s="179">
        <v>9372171651.4954491</v>
      </c>
      <c r="AJ190" s="179">
        <v>11685045513.654097</v>
      </c>
      <c r="AK190" s="179">
        <v>11341482444.733419</v>
      </c>
      <c r="AL190" s="179">
        <v>12452275682.704811</v>
      </c>
      <c r="AM190" s="179">
        <v>12493107932.379713</v>
      </c>
      <c r="AN190" s="179">
        <v>12918855656.697008</v>
      </c>
      <c r="AO190" s="179">
        <v>13802600780.23407</v>
      </c>
      <c r="AP190" s="179">
        <v>15277763328.998699</v>
      </c>
      <c r="AQ190" s="179">
        <v>15837451235.370611</v>
      </c>
      <c r="AR190" s="179">
        <v>13996914694.408321</v>
      </c>
      <c r="AS190" s="179">
        <v>15593456176.853056</v>
      </c>
      <c r="AT190" s="179">
        <v>19507452535.760727</v>
      </c>
      <c r="AU190" s="179">
        <v>19452000520.156048</v>
      </c>
      <c r="AV190" s="179">
        <v>20142756046.814045</v>
      </c>
      <c r="AW190" s="179">
        <v>21633708192.457737</v>
      </c>
      <c r="AX190" s="179">
        <v>24763712873.86216</v>
      </c>
      <c r="AY190" s="179">
        <v>31081991677.50325</v>
      </c>
      <c r="AZ190" s="179">
        <v>37215779713.914177</v>
      </c>
      <c r="BA190" s="179">
        <v>42085379453.836151</v>
      </c>
      <c r="BB190" s="179">
        <v>60905452535.760727</v>
      </c>
      <c r="BC190" s="179">
        <v>48388363589.076721</v>
      </c>
      <c r="BD190" s="179">
        <v>64993498049.414825</v>
      </c>
      <c r="BE190" s="179">
        <v>77497529258.777634</v>
      </c>
      <c r="BF190" s="179">
        <v>87408842652.795822</v>
      </c>
      <c r="BG190" s="179">
        <v>89936020806.241867</v>
      </c>
      <c r="BH190" s="179">
        <v>92699089726.918076</v>
      </c>
      <c r="BI190" s="179">
        <v>78710793237.97139</v>
      </c>
      <c r="BJ190" s="179">
        <v>75128738621.586472</v>
      </c>
      <c r="BK190" s="179">
        <v>80856697009.102722</v>
      </c>
      <c r="BL190" s="179">
        <v>91505851755.526657</v>
      </c>
      <c r="BM190" s="179">
        <v>88060858257.477234</v>
      </c>
      <c r="BN190" s="179">
        <v>75909397659.297791</v>
      </c>
      <c r="BO190" s="179">
        <v>88191977373.211975</v>
      </c>
      <c r="BP190" s="179">
        <v>114667360208.06242</v>
      </c>
    </row>
    <row r="191" spans="1:68">
      <c r="A191" s="179" t="s">
        <v>836</v>
      </c>
      <c r="B191" s="179">
        <f t="shared" si="2"/>
        <v>0</v>
      </c>
      <c r="C191" s="179" t="s">
        <v>837</v>
      </c>
      <c r="D191" s="179" t="s">
        <v>494</v>
      </c>
      <c r="E191" s="179" t="s">
        <v>495</v>
      </c>
      <c r="P191" s="179">
        <v>3136792480.762538</v>
      </c>
      <c r="Q191" s="179">
        <v>3723790335.1926613</v>
      </c>
      <c r="R191" s="179">
        <v>4506983784.2674561</v>
      </c>
      <c r="S191" s="179">
        <v>6529982802.2148209</v>
      </c>
      <c r="T191" s="179">
        <v>12038470436.904585</v>
      </c>
      <c r="U191" s="179">
        <v>13438157792.537676</v>
      </c>
      <c r="V191" s="179">
        <v>16705643657.856001</v>
      </c>
      <c r="W191" s="179">
        <v>18811847922.442051</v>
      </c>
      <c r="X191" s="179">
        <v>20754149836.90929</v>
      </c>
      <c r="Y191" s="179">
        <v>26949571910.038628</v>
      </c>
      <c r="Z191" s="179">
        <v>37433945856.965492</v>
      </c>
      <c r="AA191" s="179">
        <v>37631523061.372421</v>
      </c>
      <c r="AB191" s="179">
        <v>35595407219.960648</v>
      </c>
      <c r="AC191" s="179">
        <v>33626483058.680801</v>
      </c>
      <c r="AD191" s="179">
        <v>33869280908.774021</v>
      </c>
      <c r="AE191" s="179">
        <v>32188255618.666744</v>
      </c>
      <c r="AF191" s="179">
        <v>32597410212.007793</v>
      </c>
      <c r="AG191" s="179">
        <v>38688149559.656807</v>
      </c>
      <c r="AH191" s="179">
        <v>43466381093.696579</v>
      </c>
      <c r="AI191" s="179">
        <v>45513212160.685707</v>
      </c>
      <c r="AJ191" s="179">
        <v>54470069179.18721</v>
      </c>
      <c r="AK191" s="179">
        <v>56088598973.77549</v>
      </c>
      <c r="AL191" s="179">
        <v>61185089378.191887</v>
      </c>
      <c r="AM191" s="179">
        <v>58270242536.919769</v>
      </c>
      <c r="AN191" s="179">
        <v>60952773467.573502</v>
      </c>
      <c r="AO191" s="179">
        <v>69995035765.864655</v>
      </c>
      <c r="AP191" s="179">
        <v>73779037903.224701</v>
      </c>
      <c r="AQ191" s="179">
        <v>76822131943.545395</v>
      </c>
      <c r="AR191" s="179">
        <v>75274017479.78363</v>
      </c>
      <c r="AS191" s="179">
        <v>81019607839.791275</v>
      </c>
      <c r="AT191" s="179">
        <v>91702715004.086945</v>
      </c>
      <c r="AU191" s="179">
        <v>91249698436.27829</v>
      </c>
      <c r="AV191" s="179">
        <v>98381529622.516434</v>
      </c>
      <c r="AW191" s="179">
        <v>122230903916.66867</v>
      </c>
      <c r="AX191" s="179">
        <v>151646041505.87881</v>
      </c>
      <c r="AY191" s="179">
        <v>183677137343.92484</v>
      </c>
      <c r="AZ191" s="179">
        <v>215631597860.03625</v>
      </c>
      <c r="BA191" s="179">
        <v>263863420304.965</v>
      </c>
      <c r="BB191" s="179">
        <v>322995519907.26501</v>
      </c>
      <c r="BC191" s="179">
        <v>277194805059.55884</v>
      </c>
      <c r="BD191" s="179">
        <v>322561398956.71069</v>
      </c>
      <c r="BE191" s="179">
        <v>396974173386.1579</v>
      </c>
      <c r="BF191" s="179">
        <v>413999903828.32202</v>
      </c>
      <c r="BG191" s="179">
        <v>432056568012.84161</v>
      </c>
      <c r="BH191" s="179">
        <v>446620927907.66479</v>
      </c>
      <c r="BI191" s="179">
        <v>370450170724.57465</v>
      </c>
      <c r="BJ191" s="179">
        <v>366511615959.01282</v>
      </c>
      <c r="BK191" s="179">
        <v>399126295563.39612</v>
      </c>
      <c r="BL191" s="179">
        <v>443078577997.34991</v>
      </c>
      <c r="BM191" s="179">
        <v>434119014495.41248</v>
      </c>
      <c r="BN191" s="179">
        <v>378201169802.00677</v>
      </c>
      <c r="BO191" s="179">
        <v>455685066365.31055</v>
      </c>
      <c r="BP191" s="179">
        <v>529870616389.92908</v>
      </c>
    </row>
    <row r="192" spans="1:68">
      <c r="A192" s="179" t="s">
        <v>863</v>
      </c>
      <c r="B192" s="179">
        <f t="shared" si="2"/>
        <v>0</v>
      </c>
      <c r="C192" s="179" t="s">
        <v>864</v>
      </c>
      <c r="D192" s="179" t="s">
        <v>494</v>
      </c>
      <c r="E192" s="179" t="s">
        <v>495</v>
      </c>
      <c r="Q192" s="179">
        <v>437447620.7644583</v>
      </c>
      <c r="R192" s="179">
        <v>525633220.1645627</v>
      </c>
      <c r="S192" s="179">
        <v>716679448.46244109</v>
      </c>
      <c r="T192" s="179">
        <v>1018241425.3815897</v>
      </c>
      <c r="U192" s="179">
        <v>1137316353.0539711</v>
      </c>
      <c r="V192" s="179">
        <v>1140399510.5580688</v>
      </c>
      <c r="W192" s="179">
        <v>1189768787.7098145</v>
      </c>
      <c r="X192" s="179">
        <v>1379939152.9191022</v>
      </c>
      <c r="Y192" s="179">
        <v>1690540719.0834475</v>
      </c>
      <c r="Z192" s="179">
        <v>1966099339.7158427</v>
      </c>
      <c r="AA192" s="179">
        <v>2023807477.8157163</v>
      </c>
      <c r="AB192" s="179">
        <v>1974341177.5297573</v>
      </c>
      <c r="AC192" s="179">
        <v>1877614434.1189609</v>
      </c>
      <c r="AD192" s="179">
        <v>1979416202.7496824</v>
      </c>
      <c r="AE192" s="179">
        <v>1873326939.4391251</v>
      </c>
      <c r="AF192" s="179">
        <v>2042414180.8416016</v>
      </c>
      <c r="AG192" s="179">
        <v>1987651802.7902813</v>
      </c>
      <c r="AH192" s="179">
        <v>2033226609.2751517</v>
      </c>
      <c r="AI192" s="179">
        <v>2103611296.0669336</v>
      </c>
      <c r="AJ192" s="179">
        <v>2354687132.6293025</v>
      </c>
      <c r="AK192" s="179">
        <v>2500551872.0540009</v>
      </c>
      <c r="AL192" s="179">
        <v>2743014524.2063742</v>
      </c>
      <c r="AM192" s="179">
        <v>2908044290.6383705</v>
      </c>
      <c r="AN192" s="179">
        <v>3426105625.6436663</v>
      </c>
      <c r="AO192" s="179">
        <v>3716903516.9917707</v>
      </c>
      <c r="AP192" s="179">
        <v>3978860437.5351143</v>
      </c>
      <c r="AQ192" s="179">
        <v>3985888305.8903685</v>
      </c>
      <c r="AR192" s="179">
        <v>3413058275.8834362</v>
      </c>
      <c r="AS192" s="179">
        <v>3750909585.1636696</v>
      </c>
      <c r="AT192" s="179">
        <v>3435656384.2703609</v>
      </c>
      <c r="AU192" s="179">
        <v>3389381091.6214123</v>
      </c>
      <c r="AV192" s="179">
        <v>3558832752.2435284</v>
      </c>
      <c r="AW192" s="179">
        <v>4239178866.186717</v>
      </c>
      <c r="AX192" s="179">
        <v>4877982920.2753553</v>
      </c>
      <c r="AY192" s="179">
        <v>5419134368.6710672</v>
      </c>
      <c r="AZ192" s="179">
        <v>5688864951.4220343</v>
      </c>
      <c r="BA192" s="179">
        <v>6273728181.6973639</v>
      </c>
      <c r="BB192" s="179">
        <v>6704438240.4496984</v>
      </c>
      <c r="BC192" s="179">
        <v>6031359069.8777666</v>
      </c>
      <c r="BD192" s="179">
        <v>6634286339.2321682</v>
      </c>
      <c r="BE192" s="179">
        <v>7736812460.3707266</v>
      </c>
      <c r="BF192" s="179">
        <v>8198532204.871851</v>
      </c>
      <c r="BG192" s="179">
        <v>8523915458.4167557</v>
      </c>
      <c r="BH192" s="179">
        <v>9263444823.6846161</v>
      </c>
      <c r="BI192" s="179">
        <v>9054327014.3613014</v>
      </c>
      <c r="BJ192" s="179">
        <v>9504027364.7726707</v>
      </c>
      <c r="BK192" s="179">
        <v>10256678899.661203</v>
      </c>
      <c r="BL192" s="179">
        <v>10760671502.414936</v>
      </c>
      <c r="BM192" s="179">
        <v>10739835368.721012</v>
      </c>
      <c r="BN192" s="179">
        <v>9531900179.0280952</v>
      </c>
      <c r="BO192" s="179">
        <v>9475964549.3285313</v>
      </c>
      <c r="BP192" s="179">
        <v>10226024919.577957</v>
      </c>
    </row>
    <row r="193" spans="1:68">
      <c r="A193" s="179" t="s">
        <v>838</v>
      </c>
      <c r="B193" s="179">
        <f t="shared" si="2"/>
        <v>0</v>
      </c>
      <c r="C193" s="179" t="s">
        <v>839</v>
      </c>
      <c r="D193" s="179" t="s">
        <v>494</v>
      </c>
      <c r="E193" s="179" t="s">
        <v>495</v>
      </c>
      <c r="F193" s="179">
        <v>3749265014.6997066</v>
      </c>
      <c r="G193" s="179">
        <v>4118647627.0474596</v>
      </c>
      <c r="H193" s="179">
        <v>4310163796.7240658</v>
      </c>
      <c r="I193" s="179">
        <v>4630827383.4523315</v>
      </c>
      <c r="J193" s="179">
        <v>5204955900.8819828</v>
      </c>
      <c r="K193" s="179">
        <v>5929231415.3716927</v>
      </c>
      <c r="L193" s="179">
        <v>6561108777.8244438</v>
      </c>
      <c r="M193" s="179">
        <v>7464510709.7858047</v>
      </c>
      <c r="N193" s="179">
        <v>8041999160.0167999</v>
      </c>
      <c r="O193" s="179">
        <v>8683116337.6732464</v>
      </c>
      <c r="P193" s="179">
        <v>10027509449.811005</v>
      </c>
      <c r="Q193" s="179">
        <v>10665896682.06636</v>
      </c>
      <c r="R193" s="179">
        <v>9415016359.56604</v>
      </c>
      <c r="S193" s="179">
        <v>6383429490.2109146</v>
      </c>
      <c r="T193" s="179">
        <v>8899191919.1919193</v>
      </c>
      <c r="U193" s="179">
        <v>11230606060.60606</v>
      </c>
      <c r="V193" s="179">
        <v>13168080808.080807</v>
      </c>
      <c r="W193" s="179">
        <v>15126060606.060606</v>
      </c>
      <c r="X193" s="179">
        <v>17811515151.515152</v>
      </c>
      <c r="Y193" s="179">
        <v>19688383838.383839</v>
      </c>
      <c r="Z193" s="179">
        <v>23654444444.444443</v>
      </c>
      <c r="AA193" s="179">
        <v>28100606060.60606</v>
      </c>
      <c r="AB193" s="179">
        <v>30725971563.981041</v>
      </c>
      <c r="AC193" s="179">
        <v>28691889763.77953</v>
      </c>
      <c r="AD193" s="179">
        <v>31151825467.497772</v>
      </c>
      <c r="AE193" s="179">
        <v>31144920844.327175</v>
      </c>
      <c r="AF193" s="179">
        <v>31899070055.796654</v>
      </c>
      <c r="AG193" s="179">
        <v>33351529274.686863</v>
      </c>
      <c r="AH193" s="179">
        <v>38472742808.316719</v>
      </c>
      <c r="AI193" s="179">
        <v>40171105580.197334</v>
      </c>
      <c r="AJ193" s="179">
        <v>40010423970.457626</v>
      </c>
      <c r="AK193" s="179">
        <v>45625336680.204651</v>
      </c>
      <c r="AL193" s="179">
        <v>48884672605.035622</v>
      </c>
      <c r="AM193" s="179">
        <v>51809999353.161354</v>
      </c>
      <c r="AN193" s="179">
        <v>52293471392.586678</v>
      </c>
      <c r="AO193" s="179">
        <v>60636071684.191795</v>
      </c>
      <c r="AP193" s="179">
        <v>63320170084.407555</v>
      </c>
      <c r="AQ193" s="179">
        <v>62433340468.022774</v>
      </c>
      <c r="AR193" s="179">
        <v>62191955814.347801</v>
      </c>
      <c r="AS193" s="179">
        <v>62973856843.573921</v>
      </c>
      <c r="AT193" s="179">
        <v>82017743416.284134</v>
      </c>
      <c r="AU193" s="179">
        <v>79484403984.884918</v>
      </c>
      <c r="AV193" s="179">
        <v>79904985384.865219</v>
      </c>
      <c r="AW193" s="179">
        <v>91760542940.071701</v>
      </c>
      <c r="AX193" s="179">
        <v>107759683863.12315</v>
      </c>
      <c r="AY193" s="179">
        <v>120055291992.93773</v>
      </c>
      <c r="AZ193" s="179">
        <v>137264061106.04344</v>
      </c>
      <c r="BA193" s="179">
        <v>152385716311.91638</v>
      </c>
      <c r="BB193" s="179">
        <v>170077814106.3049</v>
      </c>
      <c r="BC193" s="179">
        <v>168152775283.03162</v>
      </c>
      <c r="BD193" s="179">
        <v>177165547828.88937</v>
      </c>
      <c r="BE193" s="179">
        <v>213587517187.66855</v>
      </c>
      <c r="BF193" s="179">
        <v>224383544087.45175</v>
      </c>
      <c r="BG193" s="179">
        <v>231218467669.57086</v>
      </c>
      <c r="BH193" s="179">
        <v>244360858682.7619</v>
      </c>
      <c r="BI193" s="179">
        <v>270556104886.45572</v>
      </c>
      <c r="BJ193" s="179">
        <v>313629998960.4447</v>
      </c>
      <c r="BK193" s="179">
        <v>339205536454.44537</v>
      </c>
      <c r="BL193" s="179">
        <v>356128167702.89368</v>
      </c>
      <c r="BM193" s="179">
        <v>320909472926.46075</v>
      </c>
      <c r="BN193" s="179">
        <v>300425609206.1795</v>
      </c>
      <c r="BO193" s="179">
        <v>348262544719.24731</v>
      </c>
      <c r="BP193" s="179">
        <v>376532751806.9892</v>
      </c>
    </row>
    <row r="194" spans="1:68">
      <c r="A194" s="179" t="s">
        <v>846</v>
      </c>
      <c r="B194" s="179">
        <f t="shared" si="2"/>
        <v>0</v>
      </c>
      <c r="C194" s="179" t="s">
        <v>847</v>
      </c>
      <c r="D194" s="179" t="s">
        <v>494</v>
      </c>
      <c r="E194" s="179" t="s">
        <v>495</v>
      </c>
      <c r="AT194" s="179">
        <v>146297500</v>
      </c>
      <c r="AU194" s="179">
        <v>156907900</v>
      </c>
      <c r="AV194" s="179">
        <v>163184900</v>
      </c>
      <c r="AW194" s="179">
        <v>153963200</v>
      </c>
      <c r="AX194" s="179">
        <v>165186200</v>
      </c>
      <c r="AY194" s="179">
        <v>190452900</v>
      </c>
      <c r="AZ194" s="179">
        <v>192382400</v>
      </c>
      <c r="BA194" s="179">
        <v>198897700</v>
      </c>
      <c r="BB194" s="179">
        <v>198283900</v>
      </c>
      <c r="BC194" s="179">
        <v>187522800</v>
      </c>
      <c r="BD194" s="179">
        <v>185943000</v>
      </c>
      <c r="BE194" s="179">
        <v>196911100</v>
      </c>
      <c r="BF194" s="179">
        <v>212397800</v>
      </c>
      <c r="BG194" s="179">
        <v>221117200</v>
      </c>
      <c r="BH194" s="179">
        <v>241669800</v>
      </c>
      <c r="BI194" s="179">
        <v>280457700</v>
      </c>
      <c r="BJ194" s="179">
        <v>298300000</v>
      </c>
      <c r="BK194" s="179">
        <v>285600000</v>
      </c>
      <c r="BL194" s="179">
        <v>284900000</v>
      </c>
      <c r="BM194" s="179">
        <v>278900000</v>
      </c>
      <c r="BN194" s="179">
        <v>251900000</v>
      </c>
      <c r="BO194" s="179">
        <v>217800000</v>
      </c>
    </row>
    <row r="195" spans="1:68">
      <c r="A195" s="179" t="s">
        <v>840</v>
      </c>
      <c r="B195" s="179">
        <f t="shared" si="2"/>
        <v>0</v>
      </c>
      <c r="C195" s="179" t="s">
        <v>841</v>
      </c>
      <c r="D195" s="179" t="s">
        <v>494</v>
      </c>
      <c r="E195" s="179" t="s">
        <v>495</v>
      </c>
      <c r="F195" s="179">
        <v>537147100</v>
      </c>
      <c r="G195" s="179">
        <v>599026300</v>
      </c>
      <c r="H195" s="179">
        <v>652120900</v>
      </c>
      <c r="I195" s="179">
        <v>722784500</v>
      </c>
      <c r="J195" s="179">
        <v>776137500</v>
      </c>
      <c r="K195" s="179">
        <v>852485300</v>
      </c>
      <c r="L195" s="179">
        <v>928833000</v>
      </c>
      <c r="M195" s="179">
        <v>1034376400.0000001</v>
      </c>
      <c r="N195" s="179">
        <v>1112791100</v>
      </c>
      <c r="O195" s="179">
        <v>1221305700</v>
      </c>
      <c r="P195" s="179">
        <v>1351006400</v>
      </c>
      <c r="Q195" s="179">
        <v>1523917200</v>
      </c>
      <c r="R195" s="179">
        <v>1673411700</v>
      </c>
      <c r="S195" s="179">
        <v>1913793400</v>
      </c>
      <c r="T195" s="179">
        <v>2188307600</v>
      </c>
      <c r="U195" s="179">
        <v>2435304100</v>
      </c>
      <c r="V195" s="179">
        <v>2588106000</v>
      </c>
      <c r="W195" s="179">
        <v>2738261900</v>
      </c>
      <c r="X195" s="179">
        <v>3244558600</v>
      </c>
      <c r="Y195" s="179">
        <v>3704551600</v>
      </c>
      <c r="Z195" s="179">
        <v>4614086400</v>
      </c>
      <c r="AA195" s="179">
        <v>5222421500</v>
      </c>
      <c r="AB195" s="179">
        <v>5769767900</v>
      </c>
      <c r="AC195" s="179">
        <v>5923755900</v>
      </c>
      <c r="AD195" s="179">
        <v>6183387100</v>
      </c>
      <c r="AE195" s="179">
        <v>6541517100</v>
      </c>
      <c r="AF195" s="179">
        <v>6797834200</v>
      </c>
      <c r="AG195" s="179">
        <v>6827665300</v>
      </c>
      <c r="AH195" s="179">
        <v>5902783400</v>
      </c>
      <c r="AI195" s="179">
        <v>5918469800</v>
      </c>
      <c r="AJ195" s="179">
        <v>6433967000</v>
      </c>
      <c r="AK195" s="179">
        <v>7074675500</v>
      </c>
      <c r="AL195" s="179">
        <v>8042337700</v>
      </c>
      <c r="AM195" s="179">
        <v>8782585400</v>
      </c>
      <c r="AN195" s="179">
        <v>9365289800</v>
      </c>
      <c r="AO195" s="179">
        <v>9573813700</v>
      </c>
      <c r="AP195" s="179">
        <v>9870494000</v>
      </c>
      <c r="AQ195" s="179">
        <v>10677286100</v>
      </c>
      <c r="AR195" s="179">
        <v>11575486400</v>
      </c>
      <c r="AS195" s="179">
        <v>12130252200</v>
      </c>
      <c r="AT195" s="179">
        <v>12304115000</v>
      </c>
      <c r="AU195" s="179">
        <v>12502013400</v>
      </c>
      <c r="AV195" s="179">
        <v>12994310400</v>
      </c>
      <c r="AW195" s="179">
        <v>13693981200</v>
      </c>
      <c r="AX195" s="179">
        <v>15013381700</v>
      </c>
      <c r="AY195" s="179">
        <v>16374393900</v>
      </c>
      <c r="AZ195" s="179">
        <v>18141666300</v>
      </c>
      <c r="BA195" s="179">
        <v>21295984200</v>
      </c>
      <c r="BB195" s="179">
        <v>25155888600</v>
      </c>
      <c r="BC195" s="179">
        <v>27116635600</v>
      </c>
      <c r="BD195" s="179">
        <v>29440287600</v>
      </c>
      <c r="BE195" s="179">
        <v>34686224300</v>
      </c>
      <c r="BF195" s="179">
        <v>40429700000</v>
      </c>
      <c r="BG195" s="179">
        <v>45599900000</v>
      </c>
      <c r="BH195" s="179">
        <v>49921400000</v>
      </c>
      <c r="BI195" s="179">
        <v>54091800000</v>
      </c>
      <c r="BJ195" s="179">
        <v>57907700000</v>
      </c>
      <c r="BK195" s="179">
        <v>62202700000</v>
      </c>
      <c r="BL195" s="179">
        <v>67294169234.629097</v>
      </c>
      <c r="BM195" s="179">
        <v>69721787532.978897</v>
      </c>
      <c r="BN195" s="179">
        <v>57086836942.405197</v>
      </c>
      <c r="BO195" s="179">
        <v>67406738051.743698</v>
      </c>
      <c r="BP195" s="179">
        <v>76522511780.622192</v>
      </c>
    </row>
    <row r="196" spans="1:68">
      <c r="A196" s="179" t="s">
        <v>848</v>
      </c>
      <c r="B196" s="179">
        <f t="shared" si="2"/>
        <v>0</v>
      </c>
      <c r="C196" s="179" t="s">
        <v>849</v>
      </c>
      <c r="D196" s="179" t="s">
        <v>494</v>
      </c>
      <c r="E196" s="179" t="s">
        <v>495</v>
      </c>
      <c r="F196" s="179">
        <v>230496036.90702546</v>
      </c>
      <c r="G196" s="179">
        <v>244832039.20250615</v>
      </c>
      <c r="H196" s="179">
        <v>261184041.8207888</v>
      </c>
      <c r="I196" s="179">
        <v>275968044.18800324</v>
      </c>
      <c r="J196" s="179">
        <v>305312048.88656533</v>
      </c>
      <c r="K196" s="179">
        <v>344176055.10946995</v>
      </c>
      <c r="L196" s="179">
        <v>390992062.60564911</v>
      </c>
      <c r="M196" s="179">
        <v>441728182.72951669</v>
      </c>
      <c r="N196" s="179">
        <v>485184189.68769252</v>
      </c>
      <c r="O196" s="179">
        <v>551263864.26837003</v>
      </c>
      <c r="P196" s="179">
        <v>645568215.36838269</v>
      </c>
      <c r="Q196" s="179">
        <v>717750057.55941498</v>
      </c>
      <c r="R196" s="179">
        <v>858761953.08401942</v>
      </c>
      <c r="S196" s="179">
        <v>1299079580.2364893</v>
      </c>
      <c r="T196" s="179">
        <v>1467417948.863323</v>
      </c>
      <c r="U196" s="179">
        <v>1356603017.9038131</v>
      </c>
      <c r="V196" s="179">
        <v>1511842283.9237044</v>
      </c>
      <c r="W196" s="179">
        <v>1640745929.6916845</v>
      </c>
      <c r="X196" s="179">
        <v>1947878833.3714836</v>
      </c>
      <c r="Y196" s="179">
        <v>2293758902.8478928</v>
      </c>
      <c r="Z196" s="179">
        <v>2545809091.7112927</v>
      </c>
      <c r="AA196" s="179">
        <v>2498188995.0082121</v>
      </c>
      <c r="AB196" s="179">
        <v>2368718617.4377513</v>
      </c>
      <c r="AC196" s="179">
        <v>2562352064.8559351</v>
      </c>
      <c r="AD196" s="179">
        <v>2552663565.3267312</v>
      </c>
      <c r="AE196" s="179">
        <v>2423338768.3427725</v>
      </c>
      <c r="AF196" s="179">
        <v>2647995147.9672666</v>
      </c>
      <c r="AG196" s="179">
        <v>3143851216.957829</v>
      </c>
      <c r="AH196" s="179">
        <v>3656179989.101006</v>
      </c>
      <c r="AI196" s="179">
        <v>3546470500.9038801</v>
      </c>
      <c r="AJ196" s="179">
        <v>3219730364.996233</v>
      </c>
      <c r="AK196" s="179">
        <v>3787394957.9831934</v>
      </c>
      <c r="AL196" s="179">
        <v>4377980510.0559816</v>
      </c>
      <c r="AM196" s="179">
        <v>4974550286.1815205</v>
      </c>
      <c r="AN196" s="179">
        <v>5502786069.651742</v>
      </c>
      <c r="AO196" s="179">
        <v>4636057476.4256849</v>
      </c>
      <c r="AP196" s="179">
        <v>5155311077.3899841</v>
      </c>
      <c r="AQ196" s="179">
        <v>4936615298.7936687</v>
      </c>
      <c r="AR196" s="179">
        <v>3789443014.6166177</v>
      </c>
      <c r="AS196" s="179">
        <v>3477038204.0173297</v>
      </c>
      <c r="AT196" s="179">
        <v>3521339699.0740738</v>
      </c>
      <c r="AU196" s="179">
        <v>3081024212.4292445</v>
      </c>
      <c r="AV196" s="179">
        <v>2999511040.1976428</v>
      </c>
      <c r="AW196" s="179">
        <v>3536411824.2958045</v>
      </c>
      <c r="AX196" s="179">
        <v>3927157866.9646463</v>
      </c>
      <c r="AY196" s="179">
        <v>4865892972.2759514</v>
      </c>
      <c r="AZ196" s="179">
        <v>8354911621.9794102</v>
      </c>
      <c r="BA196" s="179">
        <v>9545029480.8222313</v>
      </c>
      <c r="BB196" s="179">
        <v>11670891359.727135</v>
      </c>
      <c r="BC196" s="179">
        <v>11619455043.476274</v>
      </c>
      <c r="BD196" s="179">
        <v>14250785801.339975</v>
      </c>
      <c r="BE196" s="179">
        <v>17985138449.652222</v>
      </c>
      <c r="BF196" s="179">
        <v>21295165200.838337</v>
      </c>
      <c r="BG196" s="179">
        <v>21261338064.878304</v>
      </c>
      <c r="BH196" s="179">
        <v>23210823987.307961</v>
      </c>
      <c r="BI196" s="179">
        <v>21723439625.730011</v>
      </c>
      <c r="BJ196" s="179">
        <v>20758874952.580463</v>
      </c>
      <c r="BK196" s="179">
        <v>22742696407.509262</v>
      </c>
      <c r="BL196" s="179">
        <v>24109780113.230686</v>
      </c>
      <c r="BM196" s="179">
        <v>24751069237.997746</v>
      </c>
      <c r="BN196" s="179">
        <v>23848442440.266956</v>
      </c>
      <c r="BO196" s="179">
        <v>26311656000.000011</v>
      </c>
      <c r="BP196" s="179">
        <v>30633444294.63102</v>
      </c>
    </row>
    <row r="197" spans="1:68">
      <c r="A197" s="179" t="s">
        <v>859</v>
      </c>
      <c r="B197" s="179">
        <f t="shared" ref="B197:B260" si="3">COUNTIF($E$273:$E$393,A197)</f>
        <v>0</v>
      </c>
      <c r="C197" s="179" t="s">
        <v>860</v>
      </c>
      <c r="D197" s="179" t="s">
        <v>494</v>
      </c>
      <c r="E197" s="179" t="s">
        <v>495</v>
      </c>
      <c r="K197" s="179">
        <v>443587301.58730161</v>
      </c>
      <c r="L197" s="179">
        <v>465888888.8888889</v>
      </c>
      <c r="M197" s="179">
        <v>492674603.17460316</v>
      </c>
      <c r="N197" s="179">
        <v>517650793.65079367</v>
      </c>
      <c r="O197" s="179">
        <v>556293650.79365075</v>
      </c>
      <c r="P197" s="179">
        <v>594611111.11111116</v>
      </c>
      <c r="Q197" s="179">
        <v>664571428.57142854</v>
      </c>
      <c r="R197" s="179">
        <v>769039682.53968251</v>
      </c>
      <c r="S197" s="179">
        <v>995531746.03174603</v>
      </c>
      <c r="T197" s="179">
        <v>1333475396.8253968</v>
      </c>
      <c r="U197" s="179">
        <v>1511420634.920635</v>
      </c>
      <c r="V197" s="179">
        <v>1698960317.4603174</v>
      </c>
      <c r="W197" s="179">
        <v>2092158730.1587303</v>
      </c>
      <c r="X197" s="179">
        <v>2559857142.8571429</v>
      </c>
      <c r="Y197" s="179">
        <v>3416777777.7777777</v>
      </c>
      <c r="Z197" s="179">
        <v>4448087301.5873013</v>
      </c>
      <c r="AA197" s="179">
        <v>5624515873.015873</v>
      </c>
      <c r="AB197" s="179">
        <v>5419411764.7058821</v>
      </c>
      <c r="AC197" s="179">
        <v>5673248726.1643839</v>
      </c>
      <c r="AD197" s="179">
        <v>4502462807.139926</v>
      </c>
      <c r="AE197" s="179">
        <v>3282449235.7612891</v>
      </c>
      <c r="AF197" s="179">
        <v>3723993942.7908778</v>
      </c>
      <c r="AG197" s="179">
        <v>3971044723.8023953</v>
      </c>
      <c r="AH197" s="179">
        <v>4255683528.3333335</v>
      </c>
      <c r="AI197" s="179">
        <v>4757732199.9621286</v>
      </c>
      <c r="AJ197" s="179">
        <v>5812114523.0118723</v>
      </c>
      <c r="AK197" s="179">
        <v>6984367762.9037123</v>
      </c>
      <c r="AL197" s="179">
        <v>7157424031.0604544</v>
      </c>
      <c r="AM197" s="179">
        <v>7249533620.3061399</v>
      </c>
      <c r="AN197" s="179">
        <v>7870982004.8195047</v>
      </c>
      <c r="AO197" s="179">
        <v>9062131475.0231781</v>
      </c>
      <c r="AP197" s="179">
        <v>9788391780.52421</v>
      </c>
      <c r="AQ197" s="179">
        <v>9965225678.05093</v>
      </c>
      <c r="AR197" s="179">
        <v>9260481572.4246197</v>
      </c>
      <c r="AS197" s="179">
        <v>8837070235.5189209</v>
      </c>
      <c r="AT197" s="179">
        <v>8855705139.5585651</v>
      </c>
      <c r="AU197" s="179">
        <v>8495806432.1846695</v>
      </c>
      <c r="AV197" s="179">
        <v>7196260656.8455591</v>
      </c>
      <c r="AW197" s="179">
        <v>7691367471.1799183</v>
      </c>
      <c r="AX197" s="179">
        <v>9624440836.2930946</v>
      </c>
      <c r="AY197" s="179">
        <v>10737500188.112309</v>
      </c>
      <c r="AZ197" s="179">
        <v>13429430050.260954</v>
      </c>
      <c r="BA197" s="179">
        <v>17856393235.433792</v>
      </c>
      <c r="BB197" s="179">
        <v>24615267617.032307</v>
      </c>
      <c r="BC197" s="179">
        <v>22355151177.738029</v>
      </c>
      <c r="BD197" s="179">
        <v>27129301048.05048</v>
      </c>
      <c r="BE197" s="179">
        <v>33737033607.061501</v>
      </c>
      <c r="BF197" s="179">
        <v>33296438408.855629</v>
      </c>
      <c r="BG197" s="179">
        <v>38651334593.028938</v>
      </c>
      <c r="BH197" s="179">
        <v>40377987314.643501</v>
      </c>
      <c r="BI197" s="179">
        <v>36211372646.37999</v>
      </c>
      <c r="BJ197" s="179">
        <v>36089550671.833977</v>
      </c>
      <c r="BK197" s="179">
        <v>38997129809.169662</v>
      </c>
      <c r="BL197" s="179">
        <v>40225448651.30619</v>
      </c>
      <c r="BM197" s="179">
        <v>37925338460.155571</v>
      </c>
      <c r="BN197" s="179">
        <v>35432177936.331673</v>
      </c>
      <c r="BO197" s="179">
        <v>39950899733.227028</v>
      </c>
      <c r="BP197" s="179">
        <v>41722295362.066704</v>
      </c>
    </row>
    <row r="198" spans="1:68">
      <c r="A198" s="179" t="s">
        <v>842</v>
      </c>
      <c r="B198" s="179">
        <f t="shared" si="3"/>
        <v>0</v>
      </c>
      <c r="C198" s="179" t="s">
        <v>843</v>
      </c>
      <c r="D198" s="179" t="s">
        <v>494</v>
      </c>
      <c r="E198" s="179" t="s">
        <v>495</v>
      </c>
      <c r="F198" s="179">
        <v>2571986572.127192</v>
      </c>
      <c r="G198" s="179">
        <v>2897852693.2749424</v>
      </c>
      <c r="H198" s="179">
        <v>3284322201.2783122</v>
      </c>
      <c r="I198" s="179">
        <v>3598272493.3108978</v>
      </c>
      <c r="J198" s="179">
        <v>4353664866.6798534</v>
      </c>
      <c r="K198" s="179">
        <v>5163008077.3737135</v>
      </c>
      <c r="L198" s="179">
        <v>6109048736.6185331</v>
      </c>
      <c r="M198" s="179">
        <v>6194340079.8786001</v>
      </c>
      <c r="N198" s="179">
        <v>5736083835.2903376</v>
      </c>
      <c r="O198" s="179">
        <v>6420909789.8299971</v>
      </c>
      <c r="P198" s="179">
        <v>7432223176.9362326</v>
      </c>
      <c r="Q198" s="179">
        <v>8289582883.676733</v>
      </c>
      <c r="R198" s="179">
        <v>9189413409.2813797</v>
      </c>
      <c r="S198" s="179">
        <v>10994381895.116135</v>
      </c>
      <c r="T198" s="179">
        <v>13858441211.469212</v>
      </c>
      <c r="U198" s="179">
        <v>16931162355.480209</v>
      </c>
      <c r="V198" s="179">
        <v>16131958850.644405</v>
      </c>
      <c r="W198" s="179">
        <v>14544913960.506155</v>
      </c>
      <c r="X198" s="179">
        <v>12491876742.970816</v>
      </c>
      <c r="Y198" s="179">
        <v>15954012439.166182</v>
      </c>
      <c r="Z198" s="179">
        <v>18136838537.724957</v>
      </c>
      <c r="AA198" s="179">
        <v>21648214892.882786</v>
      </c>
      <c r="AB198" s="179">
        <v>21794535621.215958</v>
      </c>
      <c r="AC198" s="179">
        <v>17345260564.482391</v>
      </c>
      <c r="AD198" s="179">
        <v>17600400384.507301</v>
      </c>
      <c r="AE198" s="179">
        <v>15078736875.386955</v>
      </c>
      <c r="AF198" s="179">
        <v>21859448586.485031</v>
      </c>
      <c r="AG198" s="179">
        <v>36889706592.684326</v>
      </c>
      <c r="AH198" s="179">
        <v>15439408447.200001</v>
      </c>
      <c r="AI198" s="179">
        <v>22499559086.058689</v>
      </c>
      <c r="AJ198" s="179">
        <v>26410386669.353191</v>
      </c>
      <c r="AK198" s="179">
        <v>34341465998.200283</v>
      </c>
      <c r="AL198" s="179">
        <v>35966302303.262955</v>
      </c>
      <c r="AM198" s="179">
        <v>34832077220.853653</v>
      </c>
      <c r="AN198" s="179">
        <v>44882079766.891273</v>
      </c>
      <c r="AO198" s="179">
        <v>53312793687.383636</v>
      </c>
      <c r="AP198" s="179">
        <v>55252414130.301918</v>
      </c>
      <c r="AQ198" s="179">
        <v>58147522522.522522</v>
      </c>
      <c r="AR198" s="179">
        <v>55501467877.381035</v>
      </c>
      <c r="AS198" s="179">
        <v>50187324567.882996</v>
      </c>
      <c r="AT198" s="179">
        <v>51744749133.21299</v>
      </c>
      <c r="AU198" s="179">
        <v>52030158775.405487</v>
      </c>
      <c r="AV198" s="179">
        <v>54777553515.080879</v>
      </c>
      <c r="AW198" s="179">
        <v>58731030121.867096</v>
      </c>
      <c r="AX198" s="179">
        <v>66768703497.568687</v>
      </c>
      <c r="AY198" s="179">
        <v>76060606060.606064</v>
      </c>
      <c r="AZ198" s="179">
        <v>88643193061.748001</v>
      </c>
      <c r="BA198" s="179">
        <v>102170981144.13551</v>
      </c>
      <c r="BB198" s="179">
        <v>120550599815.44141</v>
      </c>
      <c r="BC198" s="179">
        <v>120822986521.47932</v>
      </c>
      <c r="BD198" s="179">
        <v>147527631520.72919</v>
      </c>
      <c r="BE198" s="179">
        <v>171761737046.58508</v>
      </c>
      <c r="BF198" s="179">
        <v>192649991136.08969</v>
      </c>
      <c r="BG198" s="179">
        <v>201175541637.44107</v>
      </c>
      <c r="BH198" s="179">
        <v>200786240836.8179</v>
      </c>
      <c r="BI198" s="179">
        <v>189802961890.09708</v>
      </c>
      <c r="BJ198" s="179">
        <v>191898127860.84256</v>
      </c>
      <c r="BK198" s="179">
        <v>211007952315.88757</v>
      </c>
      <c r="BL198" s="179">
        <v>222597030191.04111</v>
      </c>
      <c r="BM198" s="179">
        <v>228325852220.76141</v>
      </c>
      <c r="BN198" s="179">
        <v>201947603715.40918</v>
      </c>
      <c r="BO198" s="179">
        <v>223717791482.57712</v>
      </c>
      <c r="BP198" s="179">
        <v>242631549613.2684</v>
      </c>
    </row>
    <row r="199" spans="1:68">
      <c r="A199" s="179" t="s">
        <v>844</v>
      </c>
      <c r="B199" s="179">
        <f t="shared" si="3"/>
        <v>0</v>
      </c>
      <c r="C199" s="179" t="s">
        <v>845</v>
      </c>
      <c r="D199" s="179" t="s">
        <v>494</v>
      </c>
      <c r="E199" s="179" t="s">
        <v>495</v>
      </c>
      <c r="F199" s="179">
        <v>7515892289.1740007</v>
      </c>
      <c r="G199" s="179">
        <v>8171194489.334013</v>
      </c>
      <c r="H199" s="179">
        <v>4954593633.204215</v>
      </c>
      <c r="I199" s="179">
        <v>5505023032.5247688</v>
      </c>
      <c r="J199" s="179">
        <v>5953755756.4228697</v>
      </c>
      <c r="K199" s="179">
        <v>6517349192.6092196</v>
      </c>
      <c r="L199" s="179">
        <v>7189017882.3466272</v>
      </c>
      <c r="M199" s="179">
        <v>7724873929.3840675</v>
      </c>
      <c r="N199" s="179">
        <v>8632749263.067955</v>
      </c>
      <c r="O199" s="179">
        <v>9571800645.4466095</v>
      </c>
      <c r="P199" s="179">
        <v>7559115517.559494</v>
      </c>
      <c r="Q199" s="179">
        <v>8375075197.0834761</v>
      </c>
      <c r="R199" s="179">
        <v>9067815975.4069824</v>
      </c>
      <c r="S199" s="179">
        <v>11412449173.94117</v>
      </c>
      <c r="T199" s="179">
        <v>15607882556.6329</v>
      </c>
      <c r="U199" s="179">
        <v>16875240685.83662</v>
      </c>
      <c r="V199" s="179">
        <v>19381054331.58765</v>
      </c>
      <c r="W199" s="179">
        <v>22283109806.362183</v>
      </c>
      <c r="X199" s="179">
        <v>25762223399.690937</v>
      </c>
      <c r="Y199" s="179">
        <v>31218296296.361027</v>
      </c>
      <c r="Z199" s="179">
        <v>36848079268.51709</v>
      </c>
      <c r="AA199" s="179">
        <v>40499388873.826637</v>
      </c>
      <c r="AB199" s="179">
        <v>42206011278.058548</v>
      </c>
      <c r="AC199" s="179">
        <v>37759181029.973221</v>
      </c>
      <c r="AD199" s="179">
        <v>35730184921.182213</v>
      </c>
      <c r="AE199" s="179">
        <v>34961486974.854111</v>
      </c>
      <c r="AF199" s="179">
        <v>33987206739.206738</v>
      </c>
      <c r="AG199" s="179">
        <v>37791488666.07431</v>
      </c>
      <c r="AH199" s="179">
        <v>43152128958.611595</v>
      </c>
      <c r="AI199" s="179">
        <v>48513772976.711494</v>
      </c>
      <c r="AJ199" s="179">
        <v>50508286641.574623</v>
      </c>
      <c r="AK199" s="179">
        <v>51784144314.552338</v>
      </c>
      <c r="AL199" s="179">
        <v>60422329031.627892</v>
      </c>
      <c r="AM199" s="179">
        <v>62036529909.681671</v>
      </c>
      <c r="AN199" s="179">
        <v>73159337838.400452</v>
      </c>
      <c r="AO199" s="179">
        <v>84644329824.715927</v>
      </c>
      <c r="AP199" s="179">
        <v>94648084429.034058</v>
      </c>
      <c r="AQ199" s="179">
        <v>94106316500.67775</v>
      </c>
      <c r="AR199" s="179">
        <v>74492416329.914246</v>
      </c>
      <c r="AS199" s="179">
        <v>85640170314.824493</v>
      </c>
      <c r="AT199" s="179">
        <v>83669788254.727921</v>
      </c>
      <c r="AU199" s="179">
        <v>78921234457.548737</v>
      </c>
      <c r="AV199" s="179">
        <v>84307346432.126389</v>
      </c>
      <c r="AW199" s="179">
        <v>87039092438.964447</v>
      </c>
      <c r="AX199" s="179">
        <v>95002000250.416687</v>
      </c>
      <c r="AY199" s="179">
        <v>107419977968.18546</v>
      </c>
      <c r="AZ199" s="179">
        <v>127652927611.90369</v>
      </c>
      <c r="BA199" s="179">
        <v>155980408072.5957</v>
      </c>
      <c r="BB199" s="179">
        <v>181624627927.89114</v>
      </c>
      <c r="BC199" s="179">
        <v>175974754207.57468</v>
      </c>
      <c r="BD199" s="179">
        <v>208368892319.28061</v>
      </c>
      <c r="BE199" s="179">
        <v>234216730703.65018</v>
      </c>
      <c r="BF199" s="179">
        <v>261920542606.62112</v>
      </c>
      <c r="BG199" s="179">
        <v>283902829721.26074</v>
      </c>
      <c r="BH199" s="179">
        <v>297483553299.59253</v>
      </c>
      <c r="BI199" s="179">
        <v>306445871631.96869</v>
      </c>
      <c r="BJ199" s="179">
        <v>318627003965.98853</v>
      </c>
      <c r="BK199" s="179">
        <v>328480738147.10028</v>
      </c>
      <c r="BL199" s="179">
        <v>346841896890.48932</v>
      </c>
      <c r="BM199" s="179">
        <v>376823404772.83728</v>
      </c>
      <c r="BN199" s="179">
        <v>361751145432.40411</v>
      </c>
      <c r="BO199" s="179">
        <v>394087362017.31781</v>
      </c>
      <c r="BP199" s="179">
        <v>404284327311.7132</v>
      </c>
    </row>
    <row r="200" spans="1:68">
      <c r="A200" s="179" t="s">
        <v>850</v>
      </c>
      <c r="B200" s="179">
        <f t="shared" si="3"/>
        <v>1</v>
      </c>
      <c r="C200" s="179" t="s">
        <v>851</v>
      </c>
      <c r="D200" s="179" t="s">
        <v>494</v>
      </c>
      <c r="E200" s="179" t="s">
        <v>495</v>
      </c>
      <c r="AJ200" s="179">
        <v>65977748210.526321</v>
      </c>
      <c r="AK200" s="179">
        <v>85500934319.173508</v>
      </c>
      <c r="AL200" s="179">
        <v>94337047232.886551</v>
      </c>
      <c r="AM200" s="179">
        <v>96043157272.862045</v>
      </c>
      <c r="AN200" s="179">
        <v>110803635287.62108</v>
      </c>
      <c r="AO200" s="179">
        <v>142293761469.15118</v>
      </c>
      <c r="AP200" s="179">
        <v>160193242090.42691</v>
      </c>
      <c r="AQ200" s="179">
        <v>159358194732.0939</v>
      </c>
      <c r="AR200" s="179">
        <v>174685791563.56104</v>
      </c>
      <c r="AS200" s="179">
        <v>170030647848.03387</v>
      </c>
      <c r="AT200" s="179">
        <v>172220451786.95721</v>
      </c>
      <c r="AU200" s="179">
        <v>190905493539.16806</v>
      </c>
      <c r="AV200" s="179">
        <v>199070432431.10776</v>
      </c>
      <c r="AW200" s="179">
        <v>217828661056.93512</v>
      </c>
      <c r="AX200" s="179">
        <v>255107275407.42307</v>
      </c>
      <c r="AY200" s="179">
        <v>306145913284.46576</v>
      </c>
      <c r="AZ200" s="179">
        <v>344626630395.37714</v>
      </c>
      <c r="BA200" s="179">
        <v>429020755432.72101</v>
      </c>
      <c r="BB200" s="179">
        <v>533599853342.51019</v>
      </c>
      <c r="BC200" s="179">
        <v>439731636116.94934</v>
      </c>
      <c r="BD200" s="179">
        <v>475696613935.59515</v>
      </c>
      <c r="BE200" s="179">
        <v>524374222547.90118</v>
      </c>
      <c r="BF200" s="179">
        <v>495230574356.74292</v>
      </c>
      <c r="BG200" s="179">
        <v>515762008468.81091</v>
      </c>
      <c r="BH200" s="179">
        <v>539080532037.14166</v>
      </c>
      <c r="BI200" s="179">
        <v>477111287969.22668</v>
      </c>
      <c r="BJ200" s="179">
        <v>470024559638.49603</v>
      </c>
      <c r="BK200" s="179">
        <v>524641206562.00433</v>
      </c>
      <c r="BL200" s="179">
        <v>588779850763.48682</v>
      </c>
      <c r="BM200" s="179">
        <v>596058473058.76611</v>
      </c>
      <c r="BN200" s="179">
        <v>599442783603.18689</v>
      </c>
      <c r="BO200" s="179">
        <v>679441900610.66333</v>
      </c>
      <c r="BP200" s="179">
        <v>688176605954.78723</v>
      </c>
    </row>
    <row r="201" spans="1:68">
      <c r="A201" s="179" t="s">
        <v>409</v>
      </c>
      <c r="B201" s="179">
        <f t="shared" si="3"/>
        <v>1</v>
      </c>
      <c r="C201" s="179" t="s">
        <v>858</v>
      </c>
      <c r="D201" s="179" t="s">
        <v>494</v>
      </c>
      <c r="E201" s="179" t="s">
        <v>495</v>
      </c>
      <c r="F201" s="179">
        <v>3193200404.3729734</v>
      </c>
      <c r="G201" s="179">
        <v>3417516639.3759632</v>
      </c>
      <c r="H201" s="179">
        <v>3668222357.6570182</v>
      </c>
      <c r="I201" s="179">
        <v>3905734459.7269282</v>
      </c>
      <c r="J201" s="179">
        <v>4235608177.6710229</v>
      </c>
      <c r="K201" s="179">
        <v>4687464054.834548</v>
      </c>
      <c r="L201" s="179">
        <v>5135387845.971077</v>
      </c>
      <c r="M201" s="179">
        <v>5740241165.634326</v>
      </c>
      <c r="N201" s="179">
        <v>6354262628.3353748</v>
      </c>
      <c r="O201" s="179">
        <v>6969025825.628685</v>
      </c>
      <c r="P201" s="179">
        <v>8108235704.3235703</v>
      </c>
      <c r="Q201" s="179">
        <v>9201604240.2826862</v>
      </c>
      <c r="R201" s="179">
        <v>11239117865.085249</v>
      </c>
      <c r="S201" s="179">
        <v>15090564186.426819</v>
      </c>
      <c r="T201" s="179">
        <v>17512391475.927387</v>
      </c>
      <c r="U201" s="179">
        <v>19347607843.137253</v>
      </c>
      <c r="V201" s="179">
        <v>20332831564.98674</v>
      </c>
      <c r="W201" s="179">
        <v>21439523310.633842</v>
      </c>
      <c r="X201" s="179">
        <v>23487614051.094891</v>
      </c>
      <c r="Y201" s="179">
        <v>26622819672.131149</v>
      </c>
      <c r="Z201" s="179">
        <v>32896519823.788544</v>
      </c>
      <c r="AA201" s="179">
        <v>31977276872.964169</v>
      </c>
      <c r="AB201" s="179">
        <v>30527754793.138245</v>
      </c>
      <c r="AC201" s="179">
        <v>27239650741.947159</v>
      </c>
      <c r="AD201" s="179">
        <v>25217969049.575459</v>
      </c>
      <c r="AE201" s="179">
        <v>27115807742.087303</v>
      </c>
      <c r="AF201" s="179">
        <v>38745901353.70594</v>
      </c>
      <c r="AG201" s="179">
        <v>48182925857.407143</v>
      </c>
      <c r="AH201" s="179">
        <v>56347250696.37883</v>
      </c>
      <c r="AI201" s="179">
        <v>60594092182.327477</v>
      </c>
      <c r="AJ201" s="179">
        <v>78713860216.565887</v>
      </c>
      <c r="AK201" s="179">
        <v>89233599278.479248</v>
      </c>
      <c r="AL201" s="179">
        <v>107592098307.09831</v>
      </c>
      <c r="AM201" s="179">
        <v>95009751901.259186</v>
      </c>
      <c r="AN201" s="179">
        <v>99688641304.347824</v>
      </c>
      <c r="AO201" s="179">
        <v>118122007430.01193</v>
      </c>
      <c r="AP201" s="179">
        <v>122630089680.27034</v>
      </c>
      <c r="AQ201" s="179">
        <v>117016535162.95026</v>
      </c>
      <c r="AR201" s="179">
        <v>123946327916.29564</v>
      </c>
      <c r="AS201" s="179">
        <v>127470385557.18367</v>
      </c>
      <c r="AT201" s="179">
        <v>118605192877.38849</v>
      </c>
      <c r="AU201" s="179">
        <v>121604107164.9966</v>
      </c>
      <c r="AV201" s="179">
        <v>134795565549.41945</v>
      </c>
      <c r="AW201" s="179">
        <v>165226175536.7926</v>
      </c>
      <c r="AX201" s="179">
        <v>189382122532.16882</v>
      </c>
      <c r="AY201" s="179">
        <v>197253876704.9213</v>
      </c>
      <c r="AZ201" s="179">
        <v>208756449275.84793</v>
      </c>
      <c r="BA201" s="179">
        <v>240496147317.38077</v>
      </c>
      <c r="BB201" s="179">
        <v>263416394624.08353</v>
      </c>
      <c r="BC201" s="179">
        <v>244667762835.54318</v>
      </c>
      <c r="BD201" s="179">
        <v>238113003233.28946</v>
      </c>
      <c r="BE201" s="179">
        <v>245117990242.24927</v>
      </c>
      <c r="BF201" s="179">
        <v>216224240577.95746</v>
      </c>
      <c r="BG201" s="179">
        <v>226433858005.71579</v>
      </c>
      <c r="BH201" s="179">
        <v>229901964221.88062</v>
      </c>
      <c r="BI201" s="179">
        <v>199394066525.44012</v>
      </c>
      <c r="BJ201" s="179">
        <v>206426152308.93655</v>
      </c>
      <c r="BK201" s="179">
        <v>221357874718.93179</v>
      </c>
      <c r="BL201" s="179">
        <v>242313116577.96255</v>
      </c>
      <c r="BM201" s="179">
        <v>239986922638.89728</v>
      </c>
      <c r="BN201" s="179">
        <v>229031860520.77338</v>
      </c>
      <c r="BO201" s="179">
        <v>253982847571.01529</v>
      </c>
      <c r="BP201" s="179">
        <v>251945377529.38815</v>
      </c>
    </row>
    <row r="202" spans="1:68">
      <c r="A202" s="179" t="s">
        <v>865</v>
      </c>
      <c r="B202" s="179">
        <f t="shared" si="3"/>
        <v>0</v>
      </c>
      <c r="C202" s="179" t="s">
        <v>866</v>
      </c>
      <c r="D202" s="179" t="s">
        <v>494</v>
      </c>
      <c r="E202" s="179" t="s">
        <v>495</v>
      </c>
      <c r="F202" s="179">
        <v>1047773359738.1895</v>
      </c>
      <c r="G202" s="179">
        <v>1107818944164.9966</v>
      </c>
      <c r="H202" s="179">
        <v>1196159196890.8779</v>
      </c>
      <c r="I202" s="179">
        <v>1288479558756.5803</v>
      </c>
      <c r="J202" s="179">
        <v>1405754910472.2534</v>
      </c>
      <c r="K202" s="179">
        <v>1527319910271.7549</v>
      </c>
      <c r="L202" s="179">
        <v>1675258902649.2896</v>
      </c>
      <c r="M202" s="179">
        <v>1798360977872.7551</v>
      </c>
      <c r="N202" s="179">
        <v>1950641593704.0583</v>
      </c>
      <c r="O202" s="179">
        <v>2144817644944.0125</v>
      </c>
      <c r="P202" s="179">
        <v>2342412592303.5347</v>
      </c>
      <c r="Q202" s="179">
        <v>2597096522533.5098</v>
      </c>
      <c r="R202" s="179">
        <v>3012720085617.1616</v>
      </c>
      <c r="S202" s="179">
        <v>3637412282740.6938</v>
      </c>
      <c r="T202" s="179">
        <v>4062269107213.9546</v>
      </c>
      <c r="U202" s="179">
        <v>4551619425380.4648</v>
      </c>
      <c r="V202" s="179">
        <v>4939133669039.4854</v>
      </c>
      <c r="W202" s="179">
        <v>5583957272913.2715</v>
      </c>
      <c r="X202" s="179">
        <v>6709404010331.9805</v>
      </c>
      <c r="Y202" s="179">
        <v>7714121027274.3594</v>
      </c>
      <c r="Z202" s="179">
        <v>8542238350835.8066</v>
      </c>
      <c r="AA202" s="179">
        <v>8638861952250.6494</v>
      </c>
      <c r="AB202" s="179">
        <v>8601100602982.9004</v>
      </c>
      <c r="AC202" s="179">
        <v>8926201078130.6895</v>
      </c>
      <c r="AD202" s="179">
        <v>9328457473003.209</v>
      </c>
      <c r="AE202" s="179">
        <v>9822918990615.5449</v>
      </c>
      <c r="AF202" s="179">
        <v>12002144837791.729</v>
      </c>
      <c r="AG202" s="179">
        <v>13915782174308.357</v>
      </c>
      <c r="AH202" s="179">
        <v>15676188303230.377</v>
      </c>
      <c r="AI202" s="179">
        <v>16372697957121.268</v>
      </c>
      <c r="AJ202" s="179">
        <v>18377400960323.73</v>
      </c>
      <c r="AK202" s="179">
        <v>19390950004995.609</v>
      </c>
      <c r="AL202" s="179">
        <v>20810961097254.547</v>
      </c>
      <c r="AM202" s="179">
        <v>20948371516254.953</v>
      </c>
      <c r="AN202" s="179">
        <v>22521879706695.066</v>
      </c>
      <c r="AO202" s="179">
        <v>24978715758135.348</v>
      </c>
      <c r="AP202" s="179">
        <v>25097110656154.582</v>
      </c>
      <c r="AQ202" s="179">
        <v>24602580608643.371</v>
      </c>
      <c r="AR202" s="179">
        <v>24709296714162.219</v>
      </c>
      <c r="AS202" s="179">
        <v>25946742047303.895</v>
      </c>
      <c r="AT202" s="179">
        <v>26399173716297.77</v>
      </c>
      <c r="AU202" s="179">
        <v>26142575385623.473</v>
      </c>
      <c r="AV202" s="179">
        <v>27268467106808.074</v>
      </c>
      <c r="AW202" s="179">
        <v>30572525993654.77</v>
      </c>
      <c r="AX202" s="179">
        <v>33971626447174.633</v>
      </c>
      <c r="AY202" s="179">
        <v>35742710396564.477</v>
      </c>
      <c r="AZ202" s="179">
        <v>37604948564769.266</v>
      </c>
      <c r="BA202" s="179">
        <v>41044091917260.992</v>
      </c>
      <c r="BB202" s="179">
        <v>43476833575741.234</v>
      </c>
      <c r="BC202" s="179">
        <v>40929784604203.375</v>
      </c>
      <c r="BD202" s="179">
        <v>42691272338288.781</v>
      </c>
      <c r="BE202" s="179">
        <v>45849639438219.844</v>
      </c>
      <c r="BF202" s="179">
        <v>45778308725715.305</v>
      </c>
      <c r="BG202" s="179">
        <v>46233475458879.844</v>
      </c>
      <c r="BH202" s="179">
        <v>47148786960027.773</v>
      </c>
      <c r="BI202" s="179">
        <v>44585851713476</v>
      </c>
      <c r="BJ202" s="179">
        <v>45593085156267.695</v>
      </c>
      <c r="BK202" s="179">
        <v>47535727573455.883</v>
      </c>
      <c r="BL202" s="179">
        <v>50385041767149.852</v>
      </c>
      <c r="BM202" s="179">
        <v>50880064647603.914</v>
      </c>
      <c r="BN202" s="179">
        <v>49719390050877.102</v>
      </c>
      <c r="BO202" s="179">
        <v>55090863284051.586</v>
      </c>
      <c r="BP202" s="179">
        <v>56013534785820.242</v>
      </c>
    </row>
    <row r="203" spans="1:68">
      <c r="A203" s="179" t="s">
        <v>852</v>
      </c>
      <c r="B203" s="179">
        <f t="shared" si="3"/>
        <v>0</v>
      </c>
      <c r="C203" s="179" t="s">
        <v>853</v>
      </c>
      <c r="D203" s="179" t="s">
        <v>494</v>
      </c>
      <c r="E203" s="179" t="s">
        <v>495</v>
      </c>
      <c r="F203" s="179">
        <v>20753285598.46384</v>
      </c>
      <c r="G203" s="179">
        <v>21438148383.207928</v>
      </c>
      <c r="H203" s="179">
        <v>23419301225.642269</v>
      </c>
      <c r="I203" s="179">
        <v>27350179503.842487</v>
      </c>
      <c r="J203" s="179">
        <v>25448359289.935993</v>
      </c>
      <c r="K203" s="179">
        <v>28693503052.405956</v>
      </c>
      <c r="L203" s="179">
        <v>31531025978.425858</v>
      </c>
      <c r="M203" s="179">
        <v>29711210460.324188</v>
      </c>
      <c r="N203" s="179">
        <v>31366965476.564262</v>
      </c>
      <c r="O203" s="179">
        <v>35545604544.034698</v>
      </c>
      <c r="P203" s="179">
        <v>43519848651.786354</v>
      </c>
      <c r="Q203" s="179">
        <v>42419967120.349098</v>
      </c>
      <c r="R203" s="179">
        <v>49357021176.551353</v>
      </c>
      <c r="S203" s="179">
        <v>60920765155.420403</v>
      </c>
      <c r="T203" s="179">
        <v>86057756449.217285</v>
      </c>
      <c r="U203" s="179">
        <v>98342389193.696075</v>
      </c>
      <c r="V203" s="179">
        <v>115511133085.00414</v>
      </c>
      <c r="W203" s="179">
        <v>127667415881.6969</v>
      </c>
      <c r="X203" s="179">
        <v>144095273016.33536</v>
      </c>
      <c r="Y203" s="179">
        <v>180666779617.84628</v>
      </c>
      <c r="Z203" s="179">
        <v>223624560625.92627</v>
      </c>
      <c r="AA203" s="179">
        <v>311221167301.96185</v>
      </c>
      <c r="AB203" s="179">
        <v>290607941422.12341</v>
      </c>
      <c r="AC203" s="179">
        <v>232587271032.74762</v>
      </c>
      <c r="AD203" s="179">
        <v>212921069101.9473</v>
      </c>
      <c r="AE203" s="179">
        <v>214701499607.54291</v>
      </c>
      <c r="AF203" s="179">
        <v>207046319398.62192</v>
      </c>
      <c r="AG203" s="179">
        <v>226768534647.02945</v>
      </c>
      <c r="AH203" s="179">
        <v>238039780716.81668</v>
      </c>
      <c r="AI203" s="179">
        <v>241069993446.62677</v>
      </c>
      <c r="AJ203" s="179">
        <v>394420886654.35675</v>
      </c>
      <c r="AK203" s="179">
        <v>211358138047.28702</v>
      </c>
      <c r="AL203" s="179">
        <v>172593311731.32224</v>
      </c>
      <c r="AM203" s="179">
        <v>153008614062.5007</v>
      </c>
      <c r="AN203" s="179">
        <v>135924691115.95401</v>
      </c>
      <c r="AO203" s="179">
        <v>174758803193.92673</v>
      </c>
      <c r="AP203" s="179">
        <v>194165113279.81058</v>
      </c>
      <c r="AQ203" s="179">
        <v>213951798021.82733</v>
      </c>
      <c r="AR203" s="179">
        <v>220387557174.75061</v>
      </c>
      <c r="AS203" s="179">
        <v>240832782326.47775</v>
      </c>
      <c r="AT203" s="179">
        <v>278678326342.52814</v>
      </c>
      <c r="AU203" s="179">
        <v>266344271362.12704</v>
      </c>
      <c r="AV203" s="179">
        <v>305714135441.12274</v>
      </c>
      <c r="AW203" s="179">
        <v>332450589560.56824</v>
      </c>
      <c r="AX203" s="179">
        <v>414233839145.69037</v>
      </c>
      <c r="AY203" s="179">
        <v>516904887534.49933</v>
      </c>
      <c r="AZ203" s="179">
        <v>652732381891.40857</v>
      </c>
      <c r="BA203" s="179">
        <v>789891756091.78845</v>
      </c>
      <c r="BB203" s="179">
        <v>986047738377.776</v>
      </c>
      <c r="BC203" s="179">
        <v>902165613053.19153</v>
      </c>
      <c r="BD203" s="179">
        <v>1060580608713.1339</v>
      </c>
      <c r="BE203" s="179">
        <v>1235597698970.208</v>
      </c>
      <c r="BF203" s="179">
        <v>1341797607183.5493</v>
      </c>
      <c r="BG203" s="179">
        <v>1471440063511.4036</v>
      </c>
      <c r="BH203" s="179">
        <v>1562109741135.4187</v>
      </c>
      <c r="BI203" s="179">
        <v>1334011121882.8618</v>
      </c>
      <c r="BJ203" s="179">
        <v>1217513931539.134</v>
      </c>
      <c r="BK203" s="179">
        <v>1294933204784.5894</v>
      </c>
      <c r="BL203" s="179">
        <v>1348307586808.1531</v>
      </c>
      <c r="BM203" s="179">
        <v>1421160801515.2649</v>
      </c>
      <c r="BN203" s="179">
        <v>1308382294199.1643</v>
      </c>
      <c r="BO203" s="179">
        <v>1429588429473.9209</v>
      </c>
      <c r="BP203" s="179">
        <v>1612324668164.5347</v>
      </c>
    </row>
    <row r="204" spans="1:68">
      <c r="A204" s="179" t="s">
        <v>854</v>
      </c>
      <c r="B204" s="179">
        <f t="shared" si="3"/>
        <v>0</v>
      </c>
      <c r="C204" s="179" t="s">
        <v>855</v>
      </c>
      <c r="D204" s="179" t="s">
        <v>494</v>
      </c>
      <c r="E204" s="179" t="s">
        <v>495</v>
      </c>
      <c r="F204" s="179">
        <v>1691900000</v>
      </c>
      <c r="G204" s="179">
        <v>1865100000</v>
      </c>
      <c r="H204" s="179">
        <v>2094400000</v>
      </c>
      <c r="I204" s="179">
        <v>2333600000</v>
      </c>
      <c r="J204" s="179">
        <v>2570500000</v>
      </c>
      <c r="K204" s="179">
        <v>2881500000</v>
      </c>
      <c r="L204" s="179">
        <v>3170500000</v>
      </c>
      <c r="M204" s="179">
        <v>3532700000</v>
      </c>
      <c r="N204" s="179">
        <v>3941700000</v>
      </c>
      <c r="O204" s="179">
        <v>4460700000</v>
      </c>
      <c r="P204" s="179">
        <v>5034700000</v>
      </c>
      <c r="Q204" s="179">
        <v>5646800000</v>
      </c>
      <c r="R204" s="179">
        <v>6328900000</v>
      </c>
      <c r="S204" s="179">
        <v>7002400000</v>
      </c>
      <c r="T204" s="179">
        <v>7684800000</v>
      </c>
      <c r="U204" s="179">
        <v>8198299999.999999</v>
      </c>
      <c r="V204" s="179">
        <v>8968600000</v>
      </c>
      <c r="W204" s="179">
        <v>9910900000</v>
      </c>
      <c r="X204" s="179">
        <v>11165000000</v>
      </c>
      <c r="Y204" s="179">
        <v>12750000000</v>
      </c>
      <c r="Z204" s="179">
        <v>14436100000</v>
      </c>
      <c r="AA204" s="179">
        <v>15955700000</v>
      </c>
      <c r="AB204" s="179">
        <v>16764200000</v>
      </c>
      <c r="AC204" s="179">
        <v>17276600000</v>
      </c>
      <c r="AD204" s="179">
        <v>19162600000</v>
      </c>
      <c r="AE204" s="179">
        <v>20289200000</v>
      </c>
      <c r="AF204" s="179">
        <v>22009300000</v>
      </c>
      <c r="AG204" s="179">
        <v>24025800000</v>
      </c>
      <c r="AH204" s="179">
        <v>26385800000</v>
      </c>
      <c r="AI204" s="179">
        <v>28161200000</v>
      </c>
      <c r="AJ204" s="179">
        <v>30603919000</v>
      </c>
      <c r="AK204" s="179">
        <v>32287031000</v>
      </c>
      <c r="AL204" s="179">
        <v>34630430000</v>
      </c>
      <c r="AM204" s="179">
        <v>36922456000</v>
      </c>
      <c r="AN204" s="179">
        <v>39690630000</v>
      </c>
      <c r="AO204" s="179">
        <v>42647331000</v>
      </c>
      <c r="AP204" s="179">
        <v>45340835000</v>
      </c>
      <c r="AQ204" s="179">
        <v>48187039000</v>
      </c>
      <c r="AR204" s="179">
        <v>54086400000</v>
      </c>
      <c r="AS204" s="179">
        <v>57841000000</v>
      </c>
      <c r="AT204" s="179">
        <v>61701800000</v>
      </c>
      <c r="AU204" s="179">
        <v>69208400000</v>
      </c>
      <c r="AV204" s="179">
        <v>71623500000</v>
      </c>
      <c r="AW204" s="179">
        <v>74827400000</v>
      </c>
      <c r="AX204" s="179">
        <v>80322313000</v>
      </c>
      <c r="AY204" s="179">
        <v>83914521300</v>
      </c>
      <c r="AZ204" s="179">
        <v>87276164400</v>
      </c>
      <c r="BA204" s="179">
        <v>89524131600</v>
      </c>
      <c r="BB204" s="179">
        <v>93639300000</v>
      </c>
      <c r="BC204" s="179">
        <v>96385600000</v>
      </c>
      <c r="BD204" s="179">
        <v>98381300000</v>
      </c>
      <c r="BE204" s="179">
        <v>100351700000</v>
      </c>
      <c r="BF204" s="179">
        <v>101564800000</v>
      </c>
      <c r="BG204" s="179">
        <v>102450000000</v>
      </c>
      <c r="BH204" s="179">
        <v>102445800000</v>
      </c>
      <c r="BI204" s="179">
        <v>103375500000</v>
      </c>
      <c r="BJ204" s="179">
        <v>104336700000</v>
      </c>
      <c r="BK204" s="179">
        <v>103445500000</v>
      </c>
      <c r="BL204" s="179">
        <v>100958100000</v>
      </c>
      <c r="BM204" s="179">
        <v>105126400000</v>
      </c>
      <c r="BN204" s="179">
        <v>103130900000</v>
      </c>
      <c r="BO204" s="179">
        <v>106368900000</v>
      </c>
      <c r="BP204" s="179">
        <v>113434800000</v>
      </c>
    </row>
    <row r="205" spans="1:68">
      <c r="A205" s="179" t="s">
        <v>869</v>
      </c>
      <c r="B205" s="179">
        <f t="shared" si="3"/>
        <v>1</v>
      </c>
      <c r="C205" s="179" t="s">
        <v>870</v>
      </c>
      <c r="D205" s="179" t="s">
        <v>494</v>
      </c>
      <c r="E205" s="179" t="s">
        <v>495</v>
      </c>
      <c r="P205" s="179">
        <v>301791301.55288672</v>
      </c>
      <c r="Q205" s="179">
        <v>387703114.9228465</v>
      </c>
      <c r="R205" s="179">
        <v>510262518.49960417</v>
      </c>
      <c r="S205" s="179">
        <v>793885649.28148925</v>
      </c>
      <c r="T205" s="179">
        <v>2401403228.0491977</v>
      </c>
      <c r="U205" s="179">
        <v>2512773379.5396338</v>
      </c>
      <c r="V205" s="179">
        <v>3284273711.3321662</v>
      </c>
      <c r="W205" s="179">
        <v>3617564943.3868394</v>
      </c>
      <c r="X205" s="179">
        <v>4052000413.7460341</v>
      </c>
      <c r="Y205" s="179">
        <v>5632962998.3192444</v>
      </c>
      <c r="Z205" s="179">
        <v>7829165977.5850134</v>
      </c>
      <c r="AA205" s="179">
        <v>8661263766.1157322</v>
      </c>
      <c r="AB205" s="179">
        <v>7596703216.3727207</v>
      </c>
      <c r="AC205" s="179">
        <v>6467582309.4691162</v>
      </c>
      <c r="AD205" s="179">
        <v>6704395824.9432755</v>
      </c>
      <c r="AE205" s="179">
        <v>6153296456.0439558</v>
      </c>
      <c r="AF205" s="179">
        <v>5053021950.5494499</v>
      </c>
      <c r="AG205" s="179">
        <v>5446428681.3186808</v>
      </c>
      <c r="AH205" s="179">
        <v>6038187032.9670324</v>
      </c>
      <c r="AI205" s="179">
        <v>6487912087.9120874</v>
      </c>
      <c r="AJ205" s="179">
        <v>7360439423.0769224</v>
      </c>
      <c r="AK205" s="179">
        <v>6883516483.5164833</v>
      </c>
      <c r="AL205" s="179">
        <v>7646153983.5164833</v>
      </c>
      <c r="AM205" s="179">
        <v>7156593653.8461533</v>
      </c>
      <c r="AN205" s="179">
        <v>7374450769.2307692</v>
      </c>
      <c r="AO205" s="179">
        <v>8137911978.0219774</v>
      </c>
      <c r="AP205" s="179">
        <v>9059340384.6153851</v>
      </c>
      <c r="AQ205" s="179">
        <v>11297802115.384615</v>
      </c>
      <c r="AR205" s="179">
        <v>10255495027.472527</v>
      </c>
      <c r="AS205" s="179">
        <v>12393131868.131868</v>
      </c>
      <c r="AT205" s="179">
        <v>17759890109.89011</v>
      </c>
      <c r="AU205" s="179">
        <v>17538461538.461536</v>
      </c>
      <c r="AV205" s="179">
        <v>19363736263.736263</v>
      </c>
      <c r="AW205" s="179">
        <v>23533791208.791206</v>
      </c>
      <c r="AX205" s="179">
        <v>31734065934.065933</v>
      </c>
      <c r="AY205" s="179">
        <v>44530494505.494507</v>
      </c>
      <c r="AZ205" s="179">
        <v>60882142857.142853</v>
      </c>
      <c r="BA205" s="179">
        <v>79712087912.087906</v>
      </c>
      <c r="BB205" s="179">
        <v>115270054945.05495</v>
      </c>
      <c r="BC205" s="179">
        <v>97798351648.351639</v>
      </c>
      <c r="BD205" s="179">
        <v>125122306346.15384</v>
      </c>
      <c r="BE205" s="179">
        <v>167775268626.37363</v>
      </c>
      <c r="BF205" s="179">
        <v>186833502362.63736</v>
      </c>
      <c r="BG205" s="179">
        <v>198727642967.03296</v>
      </c>
      <c r="BH205" s="179">
        <v>206224598571.42856</v>
      </c>
      <c r="BI205" s="179">
        <v>161739955576.92307</v>
      </c>
      <c r="BJ205" s="179">
        <v>151732181868.13187</v>
      </c>
      <c r="BK205" s="179">
        <v>161099122225.27472</v>
      </c>
      <c r="BL205" s="179">
        <v>183334953818.6813</v>
      </c>
      <c r="BM205" s="179">
        <v>176371267689.08157</v>
      </c>
      <c r="BN205" s="179">
        <v>144411363345.27032</v>
      </c>
      <c r="BO205" s="179">
        <v>179677131707.29449</v>
      </c>
      <c r="BP205" s="179">
        <v>237295575171.10327</v>
      </c>
    </row>
    <row r="206" spans="1:68">
      <c r="A206" s="179" t="s">
        <v>871</v>
      </c>
      <c r="B206" s="179">
        <f t="shared" si="3"/>
        <v>1</v>
      </c>
      <c r="C206" s="179" t="s">
        <v>872</v>
      </c>
      <c r="D206" s="179" t="s">
        <v>494</v>
      </c>
      <c r="E206" s="179" t="s">
        <v>495</v>
      </c>
      <c r="AG206" s="179">
        <v>38067565160.583885</v>
      </c>
      <c r="AH206" s="179">
        <v>40424526825.790344</v>
      </c>
      <c r="AI206" s="179">
        <v>41450779108.672424</v>
      </c>
      <c r="AJ206" s="179">
        <v>38244330107.546906</v>
      </c>
      <c r="AK206" s="179">
        <v>28851673544.996056</v>
      </c>
      <c r="AL206" s="179">
        <v>25121666666.666668</v>
      </c>
      <c r="AM206" s="179">
        <v>26361131547.122406</v>
      </c>
      <c r="AN206" s="179">
        <v>30072880812.324501</v>
      </c>
      <c r="AO206" s="179">
        <v>37430238805.93351</v>
      </c>
      <c r="AP206" s="179">
        <v>36937074278.300354</v>
      </c>
      <c r="AQ206" s="179">
        <v>35575197534.578743</v>
      </c>
      <c r="AR206" s="179">
        <v>41696111548.06765</v>
      </c>
      <c r="AS206" s="179">
        <v>35953162615.856323</v>
      </c>
      <c r="AT206" s="179">
        <v>37253738081.06694</v>
      </c>
      <c r="AU206" s="179">
        <v>40395114264.781113</v>
      </c>
      <c r="AV206" s="179">
        <v>46065502702.581696</v>
      </c>
      <c r="AW206" s="179">
        <v>57806382692.205658</v>
      </c>
      <c r="AX206" s="179">
        <v>74973660680.521988</v>
      </c>
      <c r="AY206" s="179">
        <v>98454374488.292618</v>
      </c>
      <c r="AZ206" s="179">
        <v>122023721512.52841</v>
      </c>
      <c r="BA206" s="179">
        <v>174588782938.58301</v>
      </c>
      <c r="BB206" s="179">
        <v>214317174116.58087</v>
      </c>
      <c r="BC206" s="179">
        <v>174102268534.83966</v>
      </c>
      <c r="BD206" s="179">
        <v>170029359010.66742</v>
      </c>
      <c r="BE206" s="179">
        <v>192613558645.61172</v>
      </c>
      <c r="BF206" s="179">
        <v>179132893143.41733</v>
      </c>
      <c r="BG206" s="179">
        <v>189789277576.06091</v>
      </c>
      <c r="BH206" s="179">
        <v>199713780259.3176</v>
      </c>
      <c r="BI206" s="179">
        <v>177883897811.43365</v>
      </c>
      <c r="BJ206" s="179">
        <v>185287615324.92184</v>
      </c>
      <c r="BK206" s="179">
        <v>210147181055.27652</v>
      </c>
      <c r="BL206" s="179">
        <v>243316050520.72522</v>
      </c>
      <c r="BM206" s="179">
        <v>251017797625.017</v>
      </c>
      <c r="BN206" s="179">
        <v>251362534092.31464</v>
      </c>
      <c r="BO206" s="179">
        <v>285404683024.53656</v>
      </c>
      <c r="BP206" s="179">
        <v>301261582924.08508</v>
      </c>
    </row>
    <row r="207" spans="1:68">
      <c r="A207" s="222" t="s">
        <v>83</v>
      </c>
      <c r="B207" s="179">
        <f t="shared" si="3"/>
        <v>1</v>
      </c>
      <c r="C207" s="179" t="s">
        <v>873</v>
      </c>
      <c r="D207" s="179" t="s">
        <v>494</v>
      </c>
      <c r="E207" s="179" t="s">
        <v>495</v>
      </c>
      <c r="AH207" s="179">
        <v>554713455149.50159</v>
      </c>
      <c r="AI207" s="179">
        <v>506500173960.26923</v>
      </c>
      <c r="AJ207" s="179">
        <v>516814274021.95587</v>
      </c>
      <c r="AK207" s="179">
        <v>517962962962.96295</v>
      </c>
      <c r="AL207" s="179">
        <v>460290556900.72638</v>
      </c>
      <c r="AM207" s="179">
        <v>435083713850.83716</v>
      </c>
      <c r="AN207" s="179">
        <v>395077301248.46368</v>
      </c>
      <c r="AO207" s="179">
        <v>395537185734.85437</v>
      </c>
      <c r="AP207" s="179">
        <v>391724890744.49817</v>
      </c>
      <c r="AQ207" s="179">
        <v>404928954191.87555</v>
      </c>
      <c r="AR207" s="179">
        <v>270955486862.44205</v>
      </c>
      <c r="AS207" s="179">
        <v>195907128350.9342</v>
      </c>
      <c r="AT207" s="179">
        <v>259710142196.94278</v>
      </c>
      <c r="AU207" s="179">
        <v>306602070620.50049</v>
      </c>
      <c r="AV207" s="179">
        <v>345470494417.86279</v>
      </c>
      <c r="AW207" s="179">
        <v>430347420194.65967</v>
      </c>
      <c r="AX207" s="179">
        <v>591016690742.79761</v>
      </c>
      <c r="AY207" s="179">
        <v>764015982495.67615</v>
      </c>
      <c r="AZ207" s="179">
        <v>989932059220.66748</v>
      </c>
      <c r="BA207" s="179">
        <v>1299703459799.9585</v>
      </c>
      <c r="BB207" s="179">
        <v>1660848058303.1138</v>
      </c>
      <c r="BC207" s="179">
        <v>1222645887209.3191</v>
      </c>
      <c r="BD207" s="179">
        <v>1524916698232.7131</v>
      </c>
      <c r="BE207" s="179">
        <v>2045922727569.7834</v>
      </c>
      <c r="BF207" s="179">
        <v>2208293528673.9741</v>
      </c>
      <c r="BG207" s="179">
        <v>2292470104248.1816</v>
      </c>
      <c r="BH207" s="179">
        <v>2059241582146.1104</v>
      </c>
      <c r="BI207" s="179">
        <v>1363482179761.1711</v>
      </c>
      <c r="BJ207" s="179">
        <v>1276786344534.2651</v>
      </c>
      <c r="BK207" s="179">
        <v>1574199355092.7134</v>
      </c>
      <c r="BL207" s="179">
        <v>1657328764645.9346</v>
      </c>
      <c r="BM207" s="179">
        <v>1693114993990.49</v>
      </c>
      <c r="BN207" s="179">
        <v>1493075887459.8118</v>
      </c>
      <c r="BO207" s="179">
        <v>1836892075547.5239</v>
      </c>
      <c r="BP207" s="179">
        <v>2240422438363.2739</v>
      </c>
    </row>
    <row r="208" spans="1:68">
      <c r="A208" s="179" t="s">
        <v>874</v>
      </c>
      <c r="B208" s="179">
        <f t="shared" si="3"/>
        <v>1</v>
      </c>
      <c r="C208" s="179" t="s">
        <v>875</v>
      </c>
      <c r="D208" s="179" t="s">
        <v>494</v>
      </c>
      <c r="E208" s="179" t="s">
        <v>495</v>
      </c>
      <c r="F208" s="179">
        <v>119000024.11900002</v>
      </c>
      <c r="G208" s="179">
        <v>122000016.12200001</v>
      </c>
      <c r="H208" s="179">
        <v>125000008.125</v>
      </c>
      <c r="I208" s="179">
        <v>128000000.12799999</v>
      </c>
      <c r="J208" s="179">
        <v>129999994.12999998</v>
      </c>
      <c r="K208" s="179">
        <v>148799980.14879999</v>
      </c>
      <c r="L208" s="179">
        <v>124525702.98166856</v>
      </c>
      <c r="M208" s="179">
        <v>159560018.15955999</v>
      </c>
      <c r="N208" s="179">
        <v>172200018.17219999</v>
      </c>
      <c r="O208" s="179">
        <v>188700037.18870002</v>
      </c>
      <c r="P208" s="179">
        <v>219900006.21989998</v>
      </c>
      <c r="Q208" s="179">
        <v>222952503.88432068</v>
      </c>
      <c r="R208" s="179">
        <v>246457838.60426453</v>
      </c>
      <c r="S208" s="179">
        <v>290746157.49236929</v>
      </c>
      <c r="T208" s="179">
        <v>308458423.18385434</v>
      </c>
      <c r="U208" s="179">
        <v>571863503.0084914</v>
      </c>
      <c r="V208" s="179">
        <v>637753856.05311692</v>
      </c>
      <c r="W208" s="179">
        <v>746650611.31218541</v>
      </c>
      <c r="X208" s="179">
        <v>905709080.93025815</v>
      </c>
      <c r="Y208" s="179">
        <v>1109346136.6514034</v>
      </c>
      <c r="Z208" s="179">
        <v>1254765643.1540589</v>
      </c>
      <c r="AA208" s="179">
        <v>1407062526.2863123</v>
      </c>
      <c r="AB208" s="179">
        <v>1407243132.6166406</v>
      </c>
      <c r="AC208" s="179">
        <v>1479687583.1350651</v>
      </c>
      <c r="AD208" s="179">
        <v>1587413091.4647477</v>
      </c>
      <c r="AE208" s="179">
        <v>1715626336.5332551</v>
      </c>
      <c r="AF208" s="179">
        <v>1944710687.9418812</v>
      </c>
      <c r="AG208" s="179">
        <v>2157432667.8422408</v>
      </c>
      <c r="AH208" s="179">
        <v>2395492695.1376657</v>
      </c>
      <c r="AI208" s="179">
        <v>2405022587.8004465</v>
      </c>
      <c r="AJ208" s="179">
        <v>2550185692.5372052</v>
      </c>
      <c r="AK208" s="179">
        <v>1911600232.0927932</v>
      </c>
      <c r="AL208" s="179">
        <v>2029026956.6355369</v>
      </c>
      <c r="AM208" s="179">
        <v>1971525718.1606159</v>
      </c>
      <c r="AN208" s="179">
        <v>753636370.4545455</v>
      </c>
      <c r="AO208" s="179">
        <v>1293535192.2166138</v>
      </c>
      <c r="AP208" s="179">
        <v>1382334879.4081221</v>
      </c>
      <c r="AQ208" s="179">
        <v>1851558199.3577287</v>
      </c>
      <c r="AR208" s="179">
        <v>1989343548.2991712</v>
      </c>
      <c r="AS208" s="179">
        <v>2157024758.1222391</v>
      </c>
      <c r="AT208" s="179">
        <v>2068762706.745975</v>
      </c>
      <c r="AU208" s="179">
        <v>1966548409.548578</v>
      </c>
      <c r="AV208" s="179">
        <v>1965932546.3583436</v>
      </c>
      <c r="AW208" s="179">
        <v>2138185328.1515584</v>
      </c>
      <c r="AX208" s="179">
        <v>2376464519.6403618</v>
      </c>
      <c r="AY208" s="179">
        <v>2933765825.2803717</v>
      </c>
      <c r="AZ208" s="179">
        <v>3319711249.4418893</v>
      </c>
      <c r="BA208" s="179">
        <v>4070391531.2959929</v>
      </c>
      <c r="BB208" s="179">
        <v>5179804290.63377</v>
      </c>
      <c r="BC208" s="179">
        <v>5674428927.6035643</v>
      </c>
      <c r="BD208" s="179">
        <v>6124693374.470645</v>
      </c>
      <c r="BE208" s="179">
        <v>6884907733.0048437</v>
      </c>
      <c r="BF208" s="179">
        <v>7654782978.5873594</v>
      </c>
      <c r="BG208" s="179">
        <v>7820052084.0338745</v>
      </c>
      <c r="BH208" s="179">
        <v>8239042500.2873278</v>
      </c>
      <c r="BI208" s="179">
        <v>8543869360.36164</v>
      </c>
      <c r="BJ208" s="179">
        <v>8695318854.1105537</v>
      </c>
      <c r="BK208" s="179">
        <v>9252833678.0891647</v>
      </c>
      <c r="BL208" s="179">
        <v>9636510839.3070736</v>
      </c>
      <c r="BM208" s="179">
        <v>10346675636.339691</v>
      </c>
      <c r="BN208" s="179">
        <v>10172925171.586851</v>
      </c>
      <c r="BO208" s="179">
        <v>11055281971.045393</v>
      </c>
      <c r="BP208" s="179">
        <v>13312796765.233641</v>
      </c>
    </row>
    <row r="209" spans="1:68">
      <c r="A209" s="179" t="s">
        <v>982</v>
      </c>
      <c r="B209" s="179">
        <f t="shared" si="3"/>
        <v>0</v>
      </c>
      <c r="C209" s="179" t="s">
        <v>983</v>
      </c>
      <c r="D209" s="179" t="s">
        <v>494</v>
      </c>
      <c r="E209" s="179" t="s">
        <v>495</v>
      </c>
      <c r="AB209" s="179">
        <v>121221651.61931582</v>
      </c>
      <c r="AC209" s="179">
        <v>111862823.57497902</v>
      </c>
      <c r="AD209" s="179">
        <v>109200934.32851849</v>
      </c>
      <c r="AE209" s="179">
        <v>95572172.983565673</v>
      </c>
      <c r="AF209" s="179">
        <v>100947848.6447804</v>
      </c>
      <c r="AG209" s="179">
        <v>111713922.14157791</v>
      </c>
      <c r="AH209" s="179">
        <v>133016065.41606541</v>
      </c>
      <c r="AI209" s="179">
        <v>122888609.71524288</v>
      </c>
      <c r="AJ209" s="179">
        <v>125766269.75535831</v>
      </c>
      <c r="AK209" s="179">
        <v>125597205.42231491</v>
      </c>
      <c r="AL209" s="179">
        <v>132303041.36253041</v>
      </c>
      <c r="AM209" s="179">
        <v>133122897.19626167</v>
      </c>
      <c r="AN209" s="179">
        <v>221098106.50887573</v>
      </c>
      <c r="AO209" s="179">
        <v>224865731.38190347</v>
      </c>
      <c r="AP209" s="179">
        <v>249907893.81519219</v>
      </c>
      <c r="AQ209" s="179">
        <v>285475620.92950338</v>
      </c>
      <c r="AR209" s="179">
        <v>269485284.955621</v>
      </c>
      <c r="AS209" s="179">
        <v>255408053.16629043</v>
      </c>
      <c r="AT209" s="179">
        <v>258856139.79848865</v>
      </c>
      <c r="AU209" s="179">
        <v>266299591.47942805</v>
      </c>
      <c r="AV209" s="179">
        <v>281790139.02703452</v>
      </c>
      <c r="AW209" s="179">
        <v>333426144.54076481</v>
      </c>
      <c r="AX209" s="179">
        <v>407747521.11642903</v>
      </c>
      <c r="AY209" s="179">
        <v>476801793.15942883</v>
      </c>
      <c r="AZ209" s="179">
        <v>499923757.78073615</v>
      </c>
      <c r="BA209" s="179">
        <v>573548459.83337152</v>
      </c>
      <c r="BB209" s="179">
        <v>641346191.66477573</v>
      </c>
      <c r="BC209" s="179">
        <v>628006115.42405164</v>
      </c>
      <c r="BD209" s="179">
        <v>680260919.87894487</v>
      </c>
      <c r="BE209" s="179">
        <v>744096948.49225867</v>
      </c>
      <c r="BF209" s="179">
        <v>773141695.14844954</v>
      </c>
      <c r="BG209" s="179">
        <v>797736265.91941822</v>
      </c>
      <c r="BH209" s="179">
        <v>796683672.7534802</v>
      </c>
      <c r="BI209" s="179">
        <v>824150487.2105664</v>
      </c>
      <c r="BJ209" s="179">
        <v>843924750.67353523</v>
      </c>
      <c r="BK209" s="179">
        <v>884844419.77889144</v>
      </c>
      <c r="BL209" s="179">
        <v>878448439.45372391</v>
      </c>
      <c r="BM209" s="179">
        <v>912950619.37186813</v>
      </c>
      <c r="BN209" s="179">
        <v>868898350.35666382</v>
      </c>
      <c r="BO209" s="179">
        <v>843850777.82385385</v>
      </c>
      <c r="BP209" s="179">
        <v>832421565.37235618</v>
      </c>
    </row>
    <row r="210" spans="1:68">
      <c r="A210" s="179" t="s">
        <v>891</v>
      </c>
      <c r="B210" s="179">
        <f t="shared" si="3"/>
        <v>0</v>
      </c>
      <c r="C210" s="179" t="s">
        <v>892</v>
      </c>
      <c r="D210" s="179" t="s">
        <v>494</v>
      </c>
      <c r="E210" s="179" t="s">
        <v>495</v>
      </c>
      <c r="AS210" s="179">
        <v>1109098657.5751119</v>
      </c>
      <c r="AT210" s="179">
        <v>1005159388.2439654</v>
      </c>
      <c r="AU210" s="179">
        <v>1077413479.0528233</v>
      </c>
      <c r="AV210" s="179">
        <v>1168269230.7692308</v>
      </c>
      <c r="AW210" s="179">
        <v>1464326160.815402</v>
      </c>
      <c r="AX210" s="179">
        <v>1723750000</v>
      </c>
      <c r="AY210" s="179">
        <v>1785847531.401567</v>
      </c>
      <c r="AZ210" s="179">
        <v>1908167105.758374</v>
      </c>
      <c r="BA210" s="179">
        <v>2185874623.5970435</v>
      </c>
      <c r="BB210" s="179">
        <v>2393437820.4189248</v>
      </c>
      <c r="BC210" s="179">
        <v>2056126701.8616283</v>
      </c>
      <c r="BD210" s="179">
        <v>1881191950.0000036</v>
      </c>
      <c r="BE210" s="179">
        <v>1813717694.5525327</v>
      </c>
      <c r="BF210" s="179">
        <v>1604701051.1718755</v>
      </c>
      <c r="BG210" s="179">
        <v>1678741201.5686321</v>
      </c>
      <c r="BH210" s="179">
        <v>1673910988.2352881</v>
      </c>
      <c r="BI210" s="179">
        <v>1419400403.8233864</v>
      </c>
      <c r="BJ210" s="179">
        <v>1468342430.6883647</v>
      </c>
      <c r="BK210" s="179">
        <v>1528621195.4584899</v>
      </c>
      <c r="BL210" s="179">
        <v>1655354303.8288491</v>
      </c>
      <c r="BM210" s="179">
        <v>1616188702.3440502</v>
      </c>
      <c r="BN210" s="179">
        <v>1541247884.0020726</v>
      </c>
      <c r="BO210" s="179">
        <v>1855382833.1467772</v>
      </c>
    </row>
    <row r="211" spans="1:68">
      <c r="A211" s="179" t="s">
        <v>1332</v>
      </c>
      <c r="B211" s="179">
        <f t="shared" si="3"/>
        <v>1</v>
      </c>
      <c r="C211" s="179" t="s">
        <v>905</v>
      </c>
      <c r="D211" s="179" t="s">
        <v>494</v>
      </c>
      <c r="E211" s="179" t="s">
        <v>495</v>
      </c>
      <c r="AU211" s="179">
        <v>75951131.946176842</v>
      </c>
      <c r="AV211" s="179">
        <v>85171073.877749756</v>
      </c>
      <c r="AW211" s="179">
        <v>102085765.48305717</v>
      </c>
      <c r="AX211" s="179">
        <v>114582281.98783968</v>
      </c>
      <c r="AY211" s="179">
        <v>136450658.0826098</v>
      </c>
      <c r="AZ211" s="179">
        <v>142775109.81619081</v>
      </c>
      <c r="BA211" s="179">
        <v>149146918.88861105</v>
      </c>
      <c r="BB211" s="179">
        <v>188021169.26829022</v>
      </c>
      <c r="BC211" s="179">
        <v>187821029.42854619</v>
      </c>
      <c r="BD211" s="179">
        <v>196652514.26725528</v>
      </c>
      <c r="BE211" s="179">
        <v>231489270.14452913</v>
      </c>
      <c r="BF211" s="179">
        <v>250680845.74783722</v>
      </c>
      <c r="BG211" s="179">
        <v>300554483.61162645</v>
      </c>
      <c r="BH211" s="179">
        <v>346528329.1832267</v>
      </c>
      <c r="BI211" s="179">
        <v>316066072.34375423</v>
      </c>
      <c r="BJ211" s="179">
        <v>345495614.97998238</v>
      </c>
      <c r="BK211" s="179">
        <v>375614126.19387698</v>
      </c>
      <c r="BL211" s="179">
        <v>412253809.72879899</v>
      </c>
      <c r="BM211" s="179">
        <v>427425039.68433946</v>
      </c>
      <c r="BN211" s="179">
        <v>472551023.61041892</v>
      </c>
      <c r="BO211" s="179">
        <v>526653790.6708138</v>
      </c>
      <c r="BP211" s="179">
        <v>546680341.64727437</v>
      </c>
    </row>
    <row r="212" spans="1:68">
      <c r="A212" s="179" t="s">
        <v>878</v>
      </c>
      <c r="B212" s="179">
        <f t="shared" si="3"/>
        <v>1</v>
      </c>
      <c r="C212" s="179" t="s">
        <v>879</v>
      </c>
      <c r="D212" s="179" t="s">
        <v>494</v>
      </c>
      <c r="E212" s="179" t="s">
        <v>495</v>
      </c>
      <c r="N212" s="179">
        <v>4187777707.8539505</v>
      </c>
      <c r="O212" s="179">
        <v>4485777640.9555063</v>
      </c>
      <c r="P212" s="179">
        <v>5377268844.3471241</v>
      </c>
      <c r="Q212" s="179">
        <v>7184816176.8767529</v>
      </c>
      <c r="R212" s="179">
        <v>9664177036.6720924</v>
      </c>
      <c r="S212" s="179">
        <v>14947535254.228748</v>
      </c>
      <c r="T212" s="179">
        <v>45412971922.171829</v>
      </c>
      <c r="U212" s="179">
        <v>46773137523.074844</v>
      </c>
      <c r="V212" s="179">
        <v>64005623888.454567</v>
      </c>
      <c r="W212" s="179">
        <v>74189100135.365479</v>
      </c>
      <c r="X212" s="179">
        <v>80266637389.663193</v>
      </c>
      <c r="Y212" s="179">
        <v>111858506074.44746</v>
      </c>
      <c r="Z212" s="179">
        <v>164539597502.00363</v>
      </c>
      <c r="AA212" s="179">
        <v>184291434776.43393</v>
      </c>
      <c r="AB212" s="179">
        <v>153240295657.77145</v>
      </c>
      <c r="AC212" s="179">
        <v>129171602025.14703</v>
      </c>
      <c r="AD212" s="179">
        <v>119624918956.20943</v>
      </c>
      <c r="AE212" s="179">
        <v>103897892810.97874</v>
      </c>
      <c r="AF212" s="179">
        <v>86962013010.555222</v>
      </c>
      <c r="AG212" s="179">
        <v>85695941760.045135</v>
      </c>
      <c r="AH212" s="179">
        <v>88256162068.972488</v>
      </c>
      <c r="AI212" s="179">
        <v>95344352823.69693</v>
      </c>
      <c r="AJ212" s="179">
        <v>117630261604.88786</v>
      </c>
      <c r="AK212" s="179">
        <v>132223257865.57784</v>
      </c>
      <c r="AL212" s="179">
        <v>137087867284.34232</v>
      </c>
      <c r="AM212" s="179">
        <v>132967891655.20506</v>
      </c>
      <c r="AN212" s="179">
        <v>135174876355.65553</v>
      </c>
      <c r="AO212" s="179">
        <v>143343025756.2988</v>
      </c>
      <c r="AP212" s="179">
        <v>158662377388.98904</v>
      </c>
      <c r="AQ212" s="179">
        <v>165963594803.63577</v>
      </c>
      <c r="AR212" s="179">
        <v>146775428759.27838</v>
      </c>
      <c r="AS212" s="179">
        <v>161717040000</v>
      </c>
      <c r="AT212" s="179">
        <v>189514910222.66666</v>
      </c>
      <c r="AU212" s="179">
        <v>184137517724.86267</v>
      </c>
      <c r="AV212" s="179">
        <v>189605920240.51572</v>
      </c>
      <c r="AW212" s="179">
        <v>215807655244.42401</v>
      </c>
      <c r="AX212" s="179">
        <v>258742263029.00797</v>
      </c>
      <c r="AY212" s="179">
        <v>328459700124.06396</v>
      </c>
      <c r="AZ212" s="179">
        <v>376900135720.729</v>
      </c>
      <c r="BA212" s="179">
        <v>415964583059.20477</v>
      </c>
      <c r="BB212" s="179">
        <v>519796738631.12799</v>
      </c>
      <c r="BC212" s="179">
        <v>429097899279.01337</v>
      </c>
      <c r="BD212" s="179">
        <v>528207298529.87201</v>
      </c>
      <c r="BE212" s="179">
        <v>676634577273.04529</v>
      </c>
      <c r="BF212" s="179">
        <v>741849984943.25598</v>
      </c>
      <c r="BG212" s="179">
        <v>753864543430.24805</v>
      </c>
      <c r="BH212" s="179">
        <v>766605946720.42664</v>
      </c>
      <c r="BI212" s="179">
        <v>669484381328.89075</v>
      </c>
      <c r="BJ212" s="179">
        <v>665999879694.19189</v>
      </c>
      <c r="BK212" s="179">
        <v>714994694991.65063</v>
      </c>
      <c r="BL212" s="179">
        <v>846583785179.85596</v>
      </c>
      <c r="BM212" s="179">
        <v>838564705624.6427</v>
      </c>
      <c r="BN212" s="179">
        <v>734271183954.88013</v>
      </c>
      <c r="BO212" s="179">
        <v>868585871464.54126</v>
      </c>
      <c r="BP212" s="179">
        <v>1108148978218.488</v>
      </c>
    </row>
    <row r="213" spans="1:68">
      <c r="A213" s="179" t="s">
        <v>882</v>
      </c>
      <c r="B213" s="179">
        <f t="shared" si="3"/>
        <v>1</v>
      </c>
      <c r="C213" s="179" t="s">
        <v>883</v>
      </c>
      <c r="D213" s="179" t="s">
        <v>494</v>
      </c>
      <c r="E213" s="179" t="s">
        <v>495</v>
      </c>
      <c r="F213" s="179">
        <v>1003692368.8380305</v>
      </c>
      <c r="G213" s="179">
        <v>1058975258.6059928</v>
      </c>
      <c r="H213" s="179">
        <v>1085475791.9798131</v>
      </c>
      <c r="I213" s="179">
        <v>1122139863.0699809</v>
      </c>
      <c r="J213" s="179">
        <v>1188930644.9607017</v>
      </c>
      <c r="K213" s="179">
        <v>1210058227.1455035</v>
      </c>
      <c r="L213" s="179">
        <v>1246908188.2085457</v>
      </c>
      <c r="M213" s="179">
        <v>1246480767.0374177</v>
      </c>
      <c r="N213" s="179">
        <v>1309384863.2076943</v>
      </c>
      <c r="O213" s="179">
        <v>1245234929.7498808</v>
      </c>
      <c r="P213" s="179">
        <v>1297407654.8023081</v>
      </c>
      <c r="Q213" s="179">
        <v>1339549034.3686156</v>
      </c>
      <c r="R213" s="179">
        <v>1620857100.5595036</v>
      </c>
      <c r="S213" s="179">
        <v>1863398590.0106103</v>
      </c>
      <c r="T213" s="179">
        <v>2099325232.115263</v>
      </c>
      <c r="U213" s="179">
        <v>2830388400.3912864</v>
      </c>
      <c r="V213" s="179">
        <v>2869777881.2443047</v>
      </c>
      <c r="W213" s="179">
        <v>2938046467.8930488</v>
      </c>
      <c r="X213" s="179">
        <v>3280354917.450573</v>
      </c>
      <c r="Y213" s="179">
        <v>4084877817.8783822</v>
      </c>
      <c r="Z213" s="179">
        <v>4510108281.8431511</v>
      </c>
      <c r="AA213" s="179">
        <v>4095892787.3609552</v>
      </c>
      <c r="AB213" s="179">
        <v>4013951446.3476739</v>
      </c>
      <c r="AC213" s="179">
        <v>3569356124.700901</v>
      </c>
      <c r="AD213" s="179">
        <v>3485165433.4043894</v>
      </c>
      <c r="AE213" s="179">
        <v>3818944920.0186062</v>
      </c>
      <c r="AF213" s="179">
        <v>5392093452.4472198</v>
      </c>
      <c r="AG213" s="179">
        <v>6487353094.1485596</v>
      </c>
      <c r="AH213" s="179">
        <v>6418419392.5272646</v>
      </c>
      <c r="AI213" s="179">
        <v>6366039362.8003712</v>
      </c>
      <c r="AJ213" s="179">
        <v>7390967361.6592674</v>
      </c>
      <c r="AK213" s="179">
        <v>7255210474.4341841</v>
      </c>
      <c r="AL213" s="179">
        <v>7769817847.277997</v>
      </c>
      <c r="AM213" s="179">
        <v>7367986228.2080507</v>
      </c>
      <c r="AN213" s="179">
        <v>5034588198.680192</v>
      </c>
      <c r="AO213" s="179">
        <v>6326342634.6542196</v>
      </c>
      <c r="AP213" s="179">
        <v>6559712162.4705667</v>
      </c>
      <c r="AQ213" s="179">
        <v>6041478722.24648</v>
      </c>
      <c r="AR213" s="179">
        <v>6505607913.8244286</v>
      </c>
      <c r="AS213" s="179">
        <v>6592834929.3899393</v>
      </c>
      <c r="AT213" s="179">
        <v>6013185003.7096739</v>
      </c>
      <c r="AU213" s="179">
        <v>6507824826.950242</v>
      </c>
      <c r="AV213" s="179">
        <v>7006402324.8451147</v>
      </c>
      <c r="AW213" s="179">
        <v>8768721560.5742207</v>
      </c>
      <c r="AX213" s="179">
        <v>10076816661.047958</v>
      </c>
      <c r="AY213" s="179">
        <v>11009033445.254768</v>
      </c>
      <c r="AZ213" s="179">
        <v>11697918245.35066</v>
      </c>
      <c r="BA213" s="179">
        <v>13994218399.034044</v>
      </c>
      <c r="BB213" s="179">
        <v>16853989611.193321</v>
      </c>
      <c r="BC213" s="179">
        <v>16145867483.219795</v>
      </c>
      <c r="BD213" s="179">
        <v>16121315901.811733</v>
      </c>
      <c r="BE213" s="179">
        <v>17814283649.936707</v>
      </c>
      <c r="BF213" s="179">
        <v>17660870395.810329</v>
      </c>
      <c r="BG213" s="179">
        <v>18918667730.541698</v>
      </c>
      <c r="BH213" s="179">
        <v>19797253445.267292</v>
      </c>
      <c r="BI213" s="179">
        <v>17774766696.698723</v>
      </c>
      <c r="BJ213" s="179">
        <v>19040312331.161495</v>
      </c>
      <c r="BK213" s="179">
        <v>20996562958.50098</v>
      </c>
      <c r="BL213" s="179">
        <v>23116701539.564644</v>
      </c>
      <c r="BM213" s="179">
        <v>23403995984.930641</v>
      </c>
      <c r="BN213" s="179">
        <v>24530513058.594551</v>
      </c>
      <c r="BO213" s="179">
        <v>27569136728.25647</v>
      </c>
      <c r="BP213" s="179">
        <v>27684430244.490704</v>
      </c>
    </row>
    <row r="214" spans="1:68">
      <c r="A214" s="179" t="s">
        <v>895</v>
      </c>
      <c r="B214" s="179">
        <f t="shared" si="3"/>
        <v>1</v>
      </c>
      <c r="C214" s="179" t="s">
        <v>896</v>
      </c>
      <c r="D214" s="179" t="s">
        <v>494</v>
      </c>
      <c r="E214" s="179" t="s">
        <v>495</v>
      </c>
      <c r="AO214" s="179">
        <v>16832598870.056498</v>
      </c>
      <c r="AP214" s="179">
        <v>21818007448.78957</v>
      </c>
      <c r="AQ214" s="179">
        <v>25676487999.594067</v>
      </c>
      <c r="AR214" s="179">
        <v>19457979423.376003</v>
      </c>
      <c r="AS214" s="179">
        <v>19388663551.001156</v>
      </c>
      <c r="AT214" s="179">
        <v>6875845986.5212088</v>
      </c>
      <c r="AU214" s="179">
        <v>12960546471.378193</v>
      </c>
      <c r="AV214" s="179">
        <v>17120906918.350328</v>
      </c>
      <c r="AW214" s="179">
        <v>22482365321.765587</v>
      </c>
      <c r="AX214" s="179">
        <v>26141968161.092403</v>
      </c>
      <c r="AY214" s="179">
        <v>27683225959.246811</v>
      </c>
      <c r="AZ214" s="179">
        <v>32482070360.320381</v>
      </c>
      <c r="BA214" s="179">
        <v>43170990616.472923</v>
      </c>
      <c r="BB214" s="179">
        <v>52194221468.500725</v>
      </c>
      <c r="BC214" s="179">
        <v>45162894380.931801</v>
      </c>
      <c r="BD214" s="179">
        <v>41819468691.82505</v>
      </c>
      <c r="BE214" s="179">
        <v>49258136128.967155</v>
      </c>
      <c r="BF214" s="179">
        <v>43309252921.056732</v>
      </c>
      <c r="BG214" s="179">
        <v>48394239474.676163</v>
      </c>
      <c r="BH214" s="179">
        <v>47062202241.43782</v>
      </c>
      <c r="BI214" s="179">
        <v>39655949731.381615</v>
      </c>
      <c r="BJ214" s="179">
        <v>40692661657.283997</v>
      </c>
      <c r="BK214" s="179">
        <v>44179075778.926743</v>
      </c>
      <c r="BL214" s="179">
        <v>50640662859.498726</v>
      </c>
      <c r="BM214" s="179">
        <v>51514242775.524086</v>
      </c>
      <c r="BN214" s="179">
        <v>53356484763.839027</v>
      </c>
      <c r="BO214" s="179">
        <v>63082021205.929497</v>
      </c>
      <c r="BP214" s="179">
        <v>63501748652.296822</v>
      </c>
    </row>
    <row r="215" spans="1:68">
      <c r="A215" s="179" t="s">
        <v>917</v>
      </c>
      <c r="B215" s="179">
        <f t="shared" si="3"/>
        <v>1</v>
      </c>
      <c r="C215" s="179" t="s">
        <v>918</v>
      </c>
      <c r="D215" s="179" t="s">
        <v>494</v>
      </c>
      <c r="E215" s="179" t="s">
        <v>495</v>
      </c>
      <c r="F215" s="179">
        <v>12012025.247787524</v>
      </c>
      <c r="G215" s="179">
        <v>11592024.364997752</v>
      </c>
      <c r="H215" s="179">
        <v>12642026.571972186</v>
      </c>
      <c r="I215" s="179">
        <v>13923029.264480995</v>
      </c>
      <c r="J215" s="179">
        <v>15393032.354245203</v>
      </c>
      <c r="K215" s="179">
        <v>15603032.795640089</v>
      </c>
      <c r="L215" s="179">
        <v>16443034.561219636</v>
      </c>
      <c r="M215" s="179">
        <v>16632032.813897707</v>
      </c>
      <c r="N215" s="179">
        <v>16074027.349587763</v>
      </c>
      <c r="O215" s="179">
        <v>16452027.992747162</v>
      </c>
      <c r="P215" s="179">
        <v>18432031.361677345</v>
      </c>
      <c r="Q215" s="179">
        <v>21965951.753363572</v>
      </c>
      <c r="R215" s="179">
        <v>30645121.012758542</v>
      </c>
      <c r="S215" s="179">
        <v>36896278.223336965</v>
      </c>
      <c r="T215" s="179">
        <v>43134498.693217747</v>
      </c>
      <c r="U215" s="179">
        <v>47803145.956030257</v>
      </c>
      <c r="V215" s="179">
        <v>49278979.547035009</v>
      </c>
      <c r="W215" s="179">
        <v>64526398.658254735</v>
      </c>
      <c r="X215" s="179">
        <v>85552369.914594159</v>
      </c>
      <c r="Y215" s="179">
        <v>127261099.24395965</v>
      </c>
      <c r="Z215" s="179">
        <v>156783829.56480944</v>
      </c>
      <c r="AA215" s="179">
        <v>163750728.23727137</v>
      </c>
      <c r="AB215" s="179">
        <v>157211797.72691938</v>
      </c>
      <c r="AC215" s="179">
        <v>156098244.66909537</v>
      </c>
      <c r="AD215" s="179">
        <v>160992928.61324486</v>
      </c>
      <c r="AE215" s="179">
        <v>179691474.28538063</v>
      </c>
      <c r="AF215" s="179">
        <v>221147073.28265065</v>
      </c>
      <c r="AG215" s="179">
        <v>265212941.11645684</v>
      </c>
      <c r="AH215" s="179">
        <v>301985636.80954981</v>
      </c>
      <c r="AI215" s="179">
        <v>324333385.60560644</v>
      </c>
      <c r="AJ215" s="179">
        <v>392163560.8799116</v>
      </c>
      <c r="AK215" s="179">
        <v>398307144.7590031</v>
      </c>
      <c r="AL215" s="179">
        <v>461409398.85589331</v>
      </c>
      <c r="AM215" s="179">
        <v>504230588.11420077</v>
      </c>
      <c r="AN215" s="179">
        <v>517570058.15103447</v>
      </c>
      <c r="AO215" s="179">
        <v>540733047.73304772</v>
      </c>
      <c r="AP215" s="179">
        <v>535250347.08947867</v>
      </c>
      <c r="AQ215" s="179">
        <v>598967022.07205009</v>
      </c>
      <c r="AR215" s="179">
        <v>647287375.7625283</v>
      </c>
      <c r="AS215" s="179">
        <v>662838614.88067377</v>
      </c>
      <c r="AT215" s="179">
        <v>654212432.43716216</v>
      </c>
      <c r="AU215" s="179">
        <v>662064193.59657383</v>
      </c>
      <c r="AV215" s="179">
        <v>742134792.36744344</v>
      </c>
      <c r="AW215" s="179">
        <v>750847276.4417063</v>
      </c>
      <c r="AX215" s="179">
        <v>893012218.18181813</v>
      </c>
      <c r="AY215" s="179">
        <v>977899381.81818187</v>
      </c>
      <c r="AZ215" s="179">
        <v>1081441348.6260548</v>
      </c>
      <c r="BA215" s="179">
        <v>1077308888.1631658</v>
      </c>
      <c r="BB215" s="179">
        <v>979597364.93330038</v>
      </c>
      <c r="BC215" s="179">
        <v>851064318.79214072</v>
      </c>
      <c r="BD215" s="179">
        <v>981918002.86976767</v>
      </c>
      <c r="BE215" s="179">
        <v>1059249939.5933286</v>
      </c>
      <c r="BF215" s="179">
        <v>1089880668.3777366</v>
      </c>
      <c r="BG215" s="179">
        <v>1324915221.7211044</v>
      </c>
      <c r="BH215" s="179">
        <v>1387576413.8583915</v>
      </c>
      <c r="BI215" s="179">
        <v>1391427967.3349521</v>
      </c>
      <c r="BJ215" s="179">
        <v>1458954109.8195915</v>
      </c>
      <c r="BK215" s="179">
        <v>1529773286.4964569</v>
      </c>
      <c r="BL215" s="179">
        <v>1587813245.2822464</v>
      </c>
      <c r="BM215" s="179">
        <v>1645090567.0461226</v>
      </c>
      <c r="BN215" s="179">
        <v>1183515397.6489053</v>
      </c>
      <c r="BO215" s="179">
        <v>1286687873.1844692</v>
      </c>
      <c r="BP215" s="179">
        <v>1588406479.1551094</v>
      </c>
    </row>
    <row r="216" spans="1:68">
      <c r="A216" s="179" t="s">
        <v>887</v>
      </c>
      <c r="B216" s="179">
        <f t="shared" si="3"/>
        <v>1</v>
      </c>
      <c r="C216" s="179" t="s">
        <v>888</v>
      </c>
      <c r="D216" s="179" t="s">
        <v>494</v>
      </c>
      <c r="E216" s="179" t="s">
        <v>495</v>
      </c>
      <c r="F216" s="179">
        <v>321993630.57324839</v>
      </c>
      <c r="G216" s="179">
        <v>327818552.99689692</v>
      </c>
      <c r="H216" s="179">
        <v>342704719.90854156</v>
      </c>
      <c r="I216" s="179">
        <v>348529805.65082479</v>
      </c>
      <c r="J216" s="179">
        <v>371829821.98268825</v>
      </c>
      <c r="K216" s="179">
        <v>359379856.24805748</v>
      </c>
      <c r="L216" s="179">
        <v>375479849.80806011</v>
      </c>
      <c r="M216" s="179">
        <v>348795351.16276854</v>
      </c>
      <c r="N216" s="179">
        <v>329860091.94403678</v>
      </c>
      <c r="O216" s="179">
        <v>408690163.4760654</v>
      </c>
      <c r="P216" s="179">
        <v>434410373.76414949</v>
      </c>
      <c r="Q216" s="179">
        <v>419549425.07708561</v>
      </c>
      <c r="R216" s="179">
        <v>465381264.33208954</v>
      </c>
      <c r="S216" s="179">
        <v>575230445.78024137</v>
      </c>
      <c r="T216" s="179">
        <v>648590794.57527447</v>
      </c>
      <c r="U216" s="179">
        <v>679336126.55536914</v>
      </c>
      <c r="V216" s="179">
        <v>594895244.67470992</v>
      </c>
      <c r="W216" s="179">
        <v>691779749.56229711</v>
      </c>
      <c r="X216" s="179">
        <v>960725310.97806573</v>
      </c>
      <c r="Y216" s="179">
        <v>1109372098.138788</v>
      </c>
      <c r="Z216" s="179">
        <v>1100688361.2612565</v>
      </c>
      <c r="AA216" s="179">
        <v>1114831914.6302061</v>
      </c>
      <c r="AB216" s="179">
        <v>1295361467.6102314</v>
      </c>
      <c r="AC216" s="179">
        <v>995104199.78420758</v>
      </c>
      <c r="AD216" s="179">
        <v>1087471861.9892826</v>
      </c>
      <c r="AE216" s="179">
        <v>856863164.45539379</v>
      </c>
      <c r="AF216" s="179">
        <v>490177396.18152434</v>
      </c>
      <c r="AG216" s="179">
        <v>660115531.97067499</v>
      </c>
      <c r="AH216" s="179">
        <v>1055081242.2873996</v>
      </c>
      <c r="AI216" s="179">
        <v>932978182.01438808</v>
      </c>
      <c r="AJ216" s="179">
        <v>649644812.64470685</v>
      </c>
      <c r="AK216" s="179">
        <v>780098205.21503556</v>
      </c>
      <c r="AL216" s="179">
        <v>679997997.59711647</v>
      </c>
      <c r="AM216" s="179">
        <v>768812334.8017621</v>
      </c>
      <c r="AN216" s="179">
        <v>911915970.68348396</v>
      </c>
      <c r="AO216" s="179">
        <v>870758739.40677965</v>
      </c>
      <c r="AP216" s="179">
        <v>941742152.70989466</v>
      </c>
      <c r="AQ216" s="179">
        <v>850218033.62200713</v>
      </c>
      <c r="AR216" s="179">
        <v>672375927.34714758</v>
      </c>
      <c r="AS216" s="179">
        <v>669384768.87263048</v>
      </c>
      <c r="AT216" s="179">
        <v>635874002.19874775</v>
      </c>
      <c r="AU216" s="179">
        <v>1074851475.1787333</v>
      </c>
      <c r="AV216" s="179">
        <v>1236235826.5840876</v>
      </c>
      <c r="AW216" s="179">
        <v>1369685676.5620341</v>
      </c>
      <c r="AX216" s="179">
        <v>1430217080.6648653</v>
      </c>
      <c r="AY216" s="179">
        <v>1627058706.4762702</v>
      </c>
      <c r="AZ216" s="179">
        <v>1862116164.8034315</v>
      </c>
      <c r="BA216" s="179">
        <v>2126679686.0684516</v>
      </c>
      <c r="BB216" s="179">
        <v>2451896681.9113789</v>
      </c>
      <c r="BC216" s="179">
        <v>2419014960.199666</v>
      </c>
      <c r="BD216" s="179">
        <v>2578159479.9008317</v>
      </c>
      <c r="BE216" s="179">
        <v>2932274241.9741035</v>
      </c>
      <c r="BF216" s="179">
        <v>3789251962.2758327</v>
      </c>
      <c r="BG216" s="179">
        <v>4920343203.3026857</v>
      </c>
      <c r="BH216" s="179">
        <v>5015180836.194953</v>
      </c>
      <c r="BI216" s="179">
        <v>4252029353.8219075</v>
      </c>
      <c r="BJ216" s="179">
        <v>3862721204.6105175</v>
      </c>
      <c r="BK216" s="179">
        <v>3719443317.5241284</v>
      </c>
      <c r="BL216" s="179">
        <v>4085114542.0683112</v>
      </c>
      <c r="BM216" s="179">
        <v>4076578653.5471363</v>
      </c>
      <c r="BN216" s="179">
        <v>4062906363.5562344</v>
      </c>
      <c r="BO216" s="179">
        <v>4249234573.9870777</v>
      </c>
      <c r="BP216" s="179">
        <v>3970343852.319387</v>
      </c>
    </row>
    <row r="217" spans="1:68">
      <c r="A217" s="179" t="s">
        <v>92</v>
      </c>
      <c r="B217" s="179">
        <f t="shared" si="3"/>
        <v>0</v>
      </c>
      <c r="C217" s="179" t="s">
        <v>884</v>
      </c>
      <c r="D217" s="179" t="s">
        <v>494</v>
      </c>
      <c r="E217" s="179" t="s">
        <v>495</v>
      </c>
      <c r="F217" s="179">
        <v>704751699.82796133</v>
      </c>
      <c r="G217" s="179">
        <v>764629787.60883892</v>
      </c>
      <c r="H217" s="179">
        <v>826239211.26117659</v>
      </c>
      <c r="I217" s="179">
        <v>917608011.873896</v>
      </c>
      <c r="J217" s="179">
        <v>894153310.82279396</v>
      </c>
      <c r="K217" s="179">
        <v>974644095.48841441</v>
      </c>
      <c r="L217" s="179">
        <v>1096425607.3526325</v>
      </c>
      <c r="M217" s="179">
        <v>1238035814.9522529</v>
      </c>
      <c r="N217" s="179">
        <v>1425706090.0756254</v>
      </c>
      <c r="O217" s="179">
        <v>1659893766.7265317</v>
      </c>
      <c r="P217" s="179">
        <v>1920574148.8822346</v>
      </c>
      <c r="Q217" s="179">
        <v>2263785443.6168823</v>
      </c>
      <c r="R217" s="179">
        <v>2721440980.7585139</v>
      </c>
      <c r="S217" s="179">
        <v>3696213333.3333335</v>
      </c>
      <c r="T217" s="179">
        <v>5221534955.6441774</v>
      </c>
      <c r="U217" s="179">
        <v>5633673929.9930239</v>
      </c>
      <c r="V217" s="179">
        <v>6327077974.107029</v>
      </c>
      <c r="W217" s="179">
        <v>6618585073.6603527</v>
      </c>
      <c r="X217" s="179">
        <v>7517176354.8413544</v>
      </c>
      <c r="Y217" s="179">
        <v>9296921723.8346519</v>
      </c>
      <c r="Z217" s="179">
        <v>11896256782.856619</v>
      </c>
      <c r="AA217" s="179">
        <v>14175228843.63908</v>
      </c>
      <c r="AB217" s="179">
        <v>16084252378.473043</v>
      </c>
      <c r="AC217" s="179">
        <v>17784112149.532711</v>
      </c>
      <c r="AD217" s="179">
        <v>19749361097.964977</v>
      </c>
      <c r="AE217" s="179">
        <v>19156532745.769066</v>
      </c>
      <c r="AF217" s="179">
        <v>18586746056.99741</v>
      </c>
      <c r="AG217" s="179">
        <v>20919215578.212547</v>
      </c>
      <c r="AH217" s="179">
        <v>25371462488.129158</v>
      </c>
      <c r="AI217" s="179">
        <v>30465364738.620552</v>
      </c>
      <c r="AJ217" s="179">
        <v>36144336768.702255</v>
      </c>
      <c r="AK217" s="179">
        <v>45466164978.292328</v>
      </c>
      <c r="AL217" s="179">
        <v>52131330700.443939</v>
      </c>
      <c r="AM217" s="179">
        <v>60603821967.468071</v>
      </c>
      <c r="AN217" s="179">
        <v>73688716390.615311</v>
      </c>
      <c r="AO217" s="179">
        <v>87812540788.429306</v>
      </c>
      <c r="AP217" s="179">
        <v>96293097894.919357</v>
      </c>
      <c r="AQ217" s="179">
        <v>100123798454.00684</v>
      </c>
      <c r="AR217" s="179">
        <v>85728224856.372467</v>
      </c>
      <c r="AS217" s="179">
        <v>86286866724.22287</v>
      </c>
      <c r="AT217" s="179">
        <v>96076521349.062134</v>
      </c>
      <c r="AU217" s="179">
        <v>89793815727.602905</v>
      </c>
      <c r="AV217" s="179">
        <v>92538355642.884781</v>
      </c>
      <c r="AW217" s="179">
        <v>97646382412.872925</v>
      </c>
      <c r="AX217" s="179">
        <v>115033570415.04277</v>
      </c>
      <c r="AY217" s="179">
        <v>127807810333.76942</v>
      </c>
      <c r="AZ217" s="179">
        <v>148627255181.67355</v>
      </c>
      <c r="BA217" s="179">
        <v>180941741377.76553</v>
      </c>
      <c r="BB217" s="179">
        <v>193617346346.78485</v>
      </c>
      <c r="BC217" s="179">
        <v>194150322022.0918</v>
      </c>
      <c r="BD217" s="179">
        <v>239807921966.00739</v>
      </c>
      <c r="BE217" s="179">
        <v>279356526366.33435</v>
      </c>
      <c r="BF217" s="179">
        <v>295092839974.91882</v>
      </c>
      <c r="BG217" s="179">
        <v>307576360584.99158</v>
      </c>
      <c r="BH217" s="179">
        <v>314863580758.45465</v>
      </c>
      <c r="BI217" s="179">
        <v>307998545269.39795</v>
      </c>
      <c r="BJ217" s="179">
        <v>319029973659.29303</v>
      </c>
      <c r="BK217" s="179">
        <v>343272878686.38776</v>
      </c>
      <c r="BL217" s="179">
        <v>376869585632.11548</v>
      </c>
      <c r="BM217" s="179">
        <v>376837488316.9729</v>
      </c>
      <c r="BN217" s="179">
        <v>348392174863.65118</v>
      </c>
      <c r="BO217" s="179">
        <v>423796995372.7262</v>
      </c>
      <c r="BP217" s="179">
        <v>466788539651.83636</v>
      </c>
    </row>
    <row r="218" spans="1:68">
      <c r="A218" s="179" t="s">
        <v>915</v>
      </c>
      <c r="B218" s="179">
        <f t="shared" si="3"/>
        <v>0</v>
      </c>
      <c r="C218" s="179" t="s">
        <v>916</v>
      </c>
      <c r="D218" s="179" t="s">
        <v>494</v>
      </c>
      <c r="E218" s="179" t="s">
        <v>495</v>
      </c>
      <c r="BE218" s="179">
        <v>936089385.47486031</v>
      </c>
      <c r="BF218" s="179">
        <v>985865921.78770947</v>
      </c>
      <c r="BG218" s="179">
        <v>1022905027.9329609</v>
      </c>
      <c r="BH218" s="179">
        <v>1245251396.6480446</v>
      </c>
      <c r="BI218" s="179">
        <v>1253072625.698324</v>
      </c>
      <c r="BJ218" s="179">
        <v>1263687150.8379889</v>
      </c>
      <c r="BK218" s="179">
        <v>1191620111.7318435</v>
      </c>
      <c r="BL218" s="179">
        <v>1185474860.3351955</v>
      </c>
      <c r="BM218" s="179">
        <v>1459776536.312849</v>
      </c>
      <c r="BN218" s="179">
        <v>1240279329.6089385</v>
      </c>
      <c r="BO218" s="179">
        <v>1384636871.5083799</v>
      </c>
      <c r="BP218" s="179">
        <v>1571564245.8100557</v>
      </c>
    </row>
    <row r="219" spans="1:68">
      <c r="A219" s="222" t="s">
        <v>1322</v>
      </c>
      <c r="B219" s="179">
        <f t="shared" si="3"/>
        <v>1</v>
      </c>
      <c r="C219" s="179" t="s">
        <v>908</v>
      </c>
      <c r="D219" s="179" t="s">
        <v>494</v>
      </c>
      <c r="E219" s="179" t="s">
        <v>495</v>
      </c>
      <c r="AJ219" s="179">
        <v>12747380650.076181</v>
      </c>
      <c r="AK219" s="179">
        <v>14272201755.470392</v>
      </c>
      <c r="AL219" s="179">
        <v>15495514296.804243</v>
      </c>
      <c r="AM219" s="179">
        <v>16520676973.5301</v>
      </c>
      <c r="AN219" s="179">
        <v>20162936291.375015</v>
      </c>
      <c r="AO219" s="179">
        <v>25840146405.228756</v>
      </c>
      <c r="AP219" s="179">
        <v>27925036755.386562</v>
      </c>
      <c r="AQ219" s="179">
        <v>27706028095.615723</v>
      </c>
      <c r="AR219" s="179">
        <v>29856000671.216019</v>
      </c>
      <c r="AS219" s="179">
        <v>30463670123.593117</v>
      </c>
      <c r="AT219" s="179">
        <v>29242558796.550652</v>
      </c>
      <c r="AU219" s="179">
        <v>30778781606.95752</v>
      </c>
      <c r="AV219" s="179">
        <v>35297794385.68634</v>
      </c>
      <c r="AW219" s="179">
        <v>46919965224.149704</v>
      </c>
      <c r="AX219" s="179">
        <v>57437444469.087021</v>
      </c>
      <c r="AY219" s="179">
        <v>62808723476.71904</v>
      </c>
      <c r="AZ219" s="179">
        <v>70767338922.441071</v>
      </c>
      <c r="BA219" s="179">
        <v>86563986799.250473</v>
      </c>
      <c r="BB219" s="179">
        <v>100879902984.98279</v>
      </c>
      <c r="BC219" s="179">
        <v>89399303222.155014</v>
      </c>
      <c r="BD219" s="179">
        <v>91162836320.352356</v>
      </c>
      <c r="BE219" s="179">
        <v>99922685424.884155</v>
      </c>
      <c r="BF219" s="179">
        <v>94623731085.610565</v>
      </c>
      <c r="BG219" s="179">
        <v>98935222174.861069</v>
      </c>
      <c r="BH219" s="179">
        <v>101437045019.8992</v>
      </c>
      <c r="BI219" s="179">
        <v>88900883130.837448</v>
      </c>
      <c r="BJ219" s="179">
        <v>89952699524.896484</v>
      </c>
      <c r="BK219" s="179">
        <v>95649966260.981033</v>
      </c>
      <c r="BL219" s="179">
        <v>106137924015.59097</v>
      </c>
      <c r="BM219" s="179">
        <v>105710052464.6254</v>
      </c>
      <c r="BN219" s="179">
        <v>106728917483.03349</v>
      </c>
      <c r="BO219" s="179">
        <v>118656591909.26553</v>
      </c>
      <c r="BP219" s="179">
        <v>115468803971.54324</v>
      </c>
    </row>
    <row r="220" spans="1:68">
      <c r="A220" s="179" t="s">
        <v>909</v>
      </c>
      <c r="B220" s="179">
        <f t="shared" si="3"/>
        <v>1</v>
      </c>
      <c r="C220" s="179" t="s">
        <v>910</v>
      </c>
      <c r="D220" s="179" t="s">
        <v>494</v>
      </c>
      <c r="E220" s="179" t="s">
        <v>495</v>
      </c>
      <c r="AO220" s="179">
        <v>21352224019.409626</v>
      </c>
      <c r="AP220" s="179">
        <v>21507232648.725212</v>
      </c>
      <c r="AQ220" s="179">
        <v>20763101740.696278</v>
      </c>
      <c r="AR220" s="179">
        <v>22146231967.686092</v>
      </c>
      <c r="AS220" s="179">
        <v>22711384311.140411</v>
      </c>
      <c r="AT220" s="179">
        <v>20289627636.676712</v>
      </c>
      <c r="AU220" s="179">
        <v>20876309970.384998</v>
      </c>
      <c r="AV220" s="179">
        <v>23489890274.314217</v>
      </c>
      <c r="AW220" s="179">
        <v>29634713641.096844</v>
      </c>
      <c r="AX220" s="179">
        <v>34414784504.235176</v>
      </c>
      <c r="AY220" s="179">
        <v>36206395970.650414</v>
      </c>
      <c r="AZ220" s="179">
        <v>39481045038.263702</v>
      </c>
      <c r="BA220" s="179">
        <v>48067401207.397804</v>
      </c>
      <c r="BB220" s="179">
        <v>55779427739.660927</v>
      </c>
      <c r="BC220" s="179">
        <v>50567734885.961296</v>
      </c>
      <c r="BD220" s="179">
        <v>48208240226.451241</v>
      </c>
      <c r="BE220" s="179">
        <v>51583869785.185287</v>
      </c>
      <c r="BF220" s="179">
        <v>46577793184.003136</v>
      </c>
      <c r="BG220" s="179">
        <v>48415657264.876205</v>
      </c>
      <c r="BH220" s="179">
        <v>49997186439.09079</v>
      </c>
      <c r="BI220" s="179">
        <v>43107506024.325371</v>
      </c>
      <c r="BJ220" s="179">
        <v>44766722790.583839</v>
      </c>
      <c r="BK220" s="179">
        <v>48589100043.095818</v>
      </c>
      <c r="BL220" s="179">
        <v>54177882425.842133</v>
      </c>
      <c r="BM220" s="179">
        <v>54331588482.304825</v>
      </c>
      <c r="BN220" s="179">
        <v>53706800043.683273</v>
      </c>
      <c r="BO220" s="179">
        <v>61748586534.867226</v>
      </c>
      <c r="BP220" s="179">
        <v>62117768014.85627</v>
      </c>
    </row>
    <row r="221" spans="1:68">
      <c r="A221" s="179" t="s">
        <v>903</v>
      </c>
      <c r="B221" s="179">
        <f t="shared" si="3"/>
        <v>0</v>
      </c>
      <c r="C221" s="179" t="s">
        <v>904</v>
      </c>
      <c r="D221" s="179" t="s">
        <v>494</v>
      </c>
      <c r="E221" s="179" t="s">
        <v>495</v>
      </c>
      <c r="P221" s="179">
        <v>7870516442.7002916</v>
      </c>
      <c r="Q221" s="179">
        <v>8854444228.0163021</v>
      </c>
      <c r="R221" s="179">
        <v>10432353641.969656</v>
      </c>
      <c r="S221" s="179">
        <v>13000903185.426619</v>
      </c>
      <c r="T221" s="179">
        <v>20195896869.20892</v>
      </c>
      <c r="U221" s="179">
        <v>22990972083.895348</v>
      </c>
      <c r="V221" s="179">
        <v>26244271976.958946</v>
      </c>
      <c r="W221" s="179">
        <v>29802486040.866489</v>
      </c>
      <c r="X221" s="179">
        <v>32042454157.240612</v>
      </c>
      <c r="Y221" s="179">
        <v>39764312931.061859</v>
      </c>
      <c r="Z221" s="179">
        <v>52929369092.320915</v>
      </c>
      <c r="AA221" s="179">
        <v>54690453042.737885</v>
      </c>
      <c r="AB221" s="179">
        <v>54430175682.798676</v>
      </c>
      <c r="AC221" s="179">
        <v>52658286980.575836</v>
      </c>
      <c r="AD221" s="179">
        <v>52176614051.187859</v>
      </c>
      <c r="AE221" s="179">
        <v>50257275477.24704</v>
      </c>
      <c r="AF221" s="179">
        <v>49329292752.896172</v>
      </c>
      <c r="AG221" s="179">
        <v>56349718832.88044</v>
      </c>
      <c r="AH221" s="179">
        <v>62054839423.069061</v>
      </c>
      <c r="AI221" s="179">
        <v>64562256112.874031</v>
      </c>
      <c r="AJ221" s="179">
        <v>74906851774.97612</v>
      </c>
      <c r="AK221" s="179">
        <v>76506139354.827408</v>
      </c>
      <c r="AL221" s="179">
        <v>81410676569.045425</v>
      </c>
      <c r="AM221" s="179">
        <v>80324622895.990494</v>
      </c>
      <c r="AN221" s="179">
        <v>84517547648.951996</v>
      </c>
      <c r="AO221" s="179">
        <v>95833246426.512802</v>
      </c>
      <c r="AP221" s="179">
        <v>101908296167.18375</v>
      </c>
      <c r="AQ221" s="179">
        <v>109151101381.79102</v>
      </c>
      <c r="AR221" s="179">
        <v>109039291186.28766</v>
      </c>
      <c r="AS221" s="179">
        <v>116942513682.56403</v>
      </c>
      <c r="AT221" s="179">
        <v>129662529705.50284</v>
      </c>
      <c r="AU221" s="179">
        <v>130206285495.10707</v>
      </c>
      <c r="AV221" s="179">
        <v>139256082315.69421</v>
      </c>
      <c r="AW221" s="179">
        <v>166347398195.54788</v>
      </c>
      <c r="AX221" s="179">
        <v>200138874578.17746</v>
      </c>
      <c r="AY221" s="179">
        <v>238393416493.65924</v>
      </c>
      <c r="AZ221" s="179">
        <v>277387442226.42487</v>
      </c>
      <c r="BA221" s="179">
        <v>332461229660.50873</v>
      </c>
      <c r="BB221" s="179">
        <v>400481612490.77582</v>
      </c>
      <c r="BC221" s="179">
        <v>343064897906.7323</v>
      </c>
      <c r="BD221" s="179">
        <v>394134704446.14789</v>
      </c>
      <c r="BE221" s="179">
        <v>474785544180.85974</v>
      </c>
      <c r="BF221" s="179">
        <v>496043381693.94037</v>
      </c>
      <c r="BG221" s="179">
        <v>515807509296.91351</v>
      </c>
      <c r="BH221" s="179">
        <v>532806126587.15564</v>
      </c>
      <c r="BI221" s="179">
        <v>454984827185.88226</v>
      </c>
      <c r="BJ221" s="179">
        <v>446993497560.63251</v>
      </c>
      <c r="BK221" s="179">
        <v>482865468720.1601</v>
      </c>
      <c r="BL221" s="179">
        <v>530086499061.06299</v>
      </c>
      <c r="BM221" s="179">
        <v>522141646080.05328</v>
      </c>
      <c r="BN221" s="179">
        <v>453727992926.42737</v>
      </c>
      <c r="BO221" s="179">
        <v>540833833541.34338</v>
      </c>
      <c r="BP221" s="179">
        <v>633046575611.15723</v>
      </c>
    </row>
    <row r="222" spans="1:68">
      <c r="A222" s="179" t="s">
        <v>885</v>
      </c>
      <c r="B222" s="179">
        <f t="shared" si="3"/>
        <v>0</v>
      </c>
      <c r="C222" s="179" t="s">
        <v>886</v>
      </c>
      <c r="D222" s="179" t="s">
        <v>494</v>
      </c>
      <c r="E222" s="179" t="s">
        <v>495</v>
      </c>
      <c r="M222" s="179">
        <v>25203524.032563843</v>
      </c>
      <c r="N222" s="179">
        <v>28084252.758274823</v>
      </c>
      <c r="O222" s="179">
        <v>28606411.398040961</v>
      </c>
      <c r="Q222" s="179">
        <v>50056882.821387939</v>
      </c>
      <c r="R222" s="179">
        <v>40606712.050638959</v>
      </c>
      <c r="S222" s="179">
        <v>55272108.843537413</v>
      </c>
      <c r="T222" s="179">
        <v>84539332.282561973</v>
      </c>
      <c r="U222" s="179">
        <v>74620352.592075378</v>
      </c>
      <c r="V222" s="179">
        <v>83100800.456239715</v>
      </c>
      <c r="W222" s="179">
        <v>93145317.784472048</v>
      </c>
      <c r="X222" s="179">
        <v>111027384.84724201</v>
      </c>
      <c r="Y222" s="179">
        <v>151276440.25880837</v>
      </c>
      <c r="Z222" s="179">
        <v>182852054.19283372</v>
      </c>
      <c r="AA222" s="179">
        <v>193750476.47208157</v>
      </c>
      <c r="AB222" s="179">
        <v>192901942.93311027</v>
      </c>
      <c r="AC222" s="179">
        <v>181220349.80406713</v>
      </c>
      <c r="AD222" s="179">
        <v>181570454.32585609</v>
      </c>
      <c r="AE222" s="179">
        <v>165524980.92041564</v>
      </c>
      <c r="AF222" s="179">
        <v>147620047.54212105</v>
      </c>
      <c r="AG222" s="179">
        <v>155128568.05174792</v>
      </c>
      <c r="AH222" s="179">
        <v>176494422.13987857</v>
      </c>
      <c r="AI222" s="179">
        <v>172882435.80811709</v>
      </c>
      <c r="AJ222" s="179">
        <v>214877638.37550366</v>
      </c>
      <c r="AK222" s="179">
        <v>227540473.34008658</v>
      </c>
      <c r="AL222" s="179">
        <v>269034595.81298453</v>
      </c>
      <c r="AM222" s="179">
        <v>300746329.68044204</v>
      </c>
      <c r="AN222" s="179">
        <v>402836964.47515374</v>
      </c>
      <c r="AO222" s="179">
        <v>469443201.50327373</v>
      </c>
      <c r="AP222" s="179">
        <v>510586382.46764374</v>
      </c>
      <c r="AQ222" s="179">
        <v>526554053.17543721</v>
      </c>
      <c r="AR222" s="179">
        <v>457579824.38850802</v>
      </c>
      <c r="AS222" s="179">
        <v>488024547.9927724</v>
      </c>
      <c r="AT222" s="179">
        <v>419842687.97784501</v>
      </c>
      <c r="AU222" s="179">
        <v>409508556.61339206</v>
      </c>
      <c r="AV222" s="179">
        <v>346406733.6035561</v>
      </c>
      <c r="AW222" s="179">
        <v>417668997.39761525</v>
      </c>
      <c r="AX222" s="179">
        <v>468005324.46033913</v>
      </c>
      <c r="AY222" s="179">
        <v>552864568.40229273</v>
      </c>
      <c r="AZ222" s="179">
        <v>617258127.22105742</v>
      </c>
      <c r="BA222" s="179">
        <v>695295347.62153685</v>
      </c>
      <c r="BB222" s="179">
        <v>776337725.1949445</v>
      </c>
      <c r="BC222" s="179">
        <v>805557595.91560125</v>
      </c>
      <c r="BD222" s="179">
        <v>898133646.57835221</v>
      </c>
      <c r="BE222" s="179">
        <v>1063895356.5084078</v>
      </c>
      <c r="BF222" s="179">
        <v>1185283421.9760034</v>
      </c>
      <c r="BG222" s="179">
        <v>1285911568.5145178</v>
      </c>
      <c r="BH222" s="179">
        <v>1335571356.6871419</v>
      </c>
      <c r="BI222" s="179">
        <v>1307909891.2937517</v>
      </c>
      <c r="BJ222" s="179">
        <v>1379490315.0228646</v>
      </c>
      <c r="BK222" s="179">
        <v>1469789050.3085139</v>
      </c>
      <c r="BL222" s="179">
        <v>1615478421.4597356</v>
      </c>
      <c r="BM222" s="179">
        <v>1619154958.4023297</v>
      </c>
      <c r="BN222" s="179">
        <v>1536145831.0639005</v>
      </c>
      <c r="BO222" s="179">
        <v>1580303517.1709242</v>
      </c>
      <c r="BP222" s="179">
        <v>1595710784.3137255</v>
      </c>
    </row>
    <row r="223" spans="1:68">
      <c r="A223" s="179" t="s">
        <v>893</v>
      </c>
      <c r="B223" s="179">
        <f t="shared" si="3"/>
        <v>1</v>
      </c>
      <c r="C223" s="179" t="s">
        <v>894</v>
      </c>
      <c r="D223" s="179" t="s">
        <v>494</v>
      </c>
      <c r="E223" s="179" t="s">
        <v>495</v>
      </c>
      <c r="F223" s="179">
        <v>180459936.62082973</v>
      </c>
      <c r="G223" s="179">
        <v>191659914.2112067</v>
      </c>
      <c r="H223" s="179">
        <v>203531927.37219152</v>
      </c>
      <c r="I223" s="179">
        <v>216145935.75574011</v>
      </c>
      <c r="J223" s="179">
        <v>229529912.4706392</v>
      </c>
      <c r="K223" s="179">
        <v>243725897.8200365</v>
      </c>
      <c r="L223" s="179">
        <v>257375896.82829788</v>
      </c>
      <c r="M223" s="179">
        <v>271781886.57351285</v>
      </c>
      <c r="N223" s="179">
        <v>286719885.06546676</v>
      </c>
      <c r="O223" s="179">
        <v>306357284.5714286</v>
      </c>
      <c r="P223" s="179">
        <v>322600009.14285713</v>
      </c>
      <c r="Q223" s="179">
        <v>331104677.24256843</v>
      </c>
      <c r="R223" s="179">
        <v>416940943.667476</v>
      </c>
      <c r="S223" s="179">
        <v>507028428.32237971</v>
      </c>
      <c r="T223" s="179">
        <v>467577432.32209331</v>
      </c>
      <c r="U223" s="179">
        <v>710850226.64191425</v>
      </c>
      <c r="V223" s="179">
        <v>807275808.8653338</v>
      </c>
      <c r="W223" s="179">
        <v>498550873.04347825</v>
      </c>
      <c r="X223" s="179">
        <v>564986059.66850829</v>
      </c>
      <c r="Y223" s="179">
        <v>590419855.11811018</v>
      </c>
      <c r="Z223" s="179">
        <v>603592656.82220912</v>
      </c>
      <c r="AA223" s="179">
        <v>699112266.83576417</v>
      </c>
      <c r="AB223" s="179">
        <v>774419569.69906604</v>
      </c>
      <c r="AC223" s="179">
        <v>733901365.93535423</v>
      </c>
      <c r="AD223" s="179">
        <v>788307213.43823516</v>
      </c>
      <c r="AE223" s="179">
        <v>876404617.6565007</v>
      </c>
      <c r="AF223" s="179">
        <v>930318705.30133498</v>
      </c>
      <c r="AG223" s="179">
        <v>1009792724.4217484</v>
      </c>
      <c r="AH223" s="179">
        <v>1038291284.4969462</v>
      </c>
      <c r="AI223" s="179">
        <v>1092392963.1950953</v>
      </c>
      <c r="AJ223" s="179">
        <v>917044228.00845969</v>
      </c>
      <c r="BG223" s="179">
        <v>4577000011.760169</v>
      </c>
      <c r="BH223" s="179">
        <v>5024999991.7206078</v>
      </c>
      <c r="BI223" s="179">
        <v>5335000000</v>
      </c>
      <c r="BJ223" s="179">
        <v>5534000000</v>
      </c>
      <c r="BK223" s="179">
        <v>5609000000</v>
      </c>
      <c r="BL223" s="179">
        <v>5856000006.2202091</v>
      </c>
      <c r="BM223" s="179">
        <v>6485000000</v>
      </c>
      <c r="BN223" s="179">
        <v>6883000000</v>
      </c>
      <c r="BO223" s="179">
        <v>7628000011.4635696</v>
      </c>
      <c r="BP223" s="179">
        <v>8126105600.0000029</v>
      </c>
    </row>
    <row r="224" spans="1:68">
      <c r="A224" s="179" t="s">
        <v>987</v>
      </c>
      <c r="B224" s="179">
        <f t="shared" si="3"/>
        <v>1</v>
      </c>
      <c r="C224" s="179" t="s">
        <v>988</v>
      </c>
      <c r="D224" s="179" t="s">
        <v>494</v>
      </c>
      <c r="E224" s="179" t="s">
        <v>495</v>
      </c>
      <c r="F224" s="179">
        <v>8748596504.060833</v>
      </c>
      <c r="G224" s="179">
        <v>9225996313.2918701</v>
      </c>
      <c r="H224" s="179">
        <v>9813996078.3271637</v>
      </c>
      <c r="I224" s="179">
        <v>10854195662.66341</v>
      </c>
      <c r="J224" s="179">
        <v>11955995222.384304</v>
      </c>
      <c r="K224" s="179">
        <v>13068994777.629683</v>
      </c>
      <c r="L224" s="179">
        <v>14211394321.126823</v>
      </c>
      <c r="M224" s="179">
        <v>15821393677.77108</v>
      </c>
      <c r="N224" s="179">
        <v>17124793156.932648</v>
      </c>
      <c r="O224" s="179">
        <v>19256992304.905869</v>
      </c>
      <c r="P224" s="179">
        <v>21218391521.130741</v>
      </c>
      <c r="Q224" s="179">
        <v>23411079377.315788</v>
      </c>
      <c r="R224" s="179">
        <v>24515911652.311501</v>
      </c>
      <c r="S224" s="179">
        <v>33262767309.80825</v>
      </c>
      <c r="T224" s="179">
        <v>41389185877.123459</v>
      </c>
      <c r="U224" s="179">
        <v>42906919870.346916</v>
      </c>
      <c r="V224" s="179">
        <v>41150449964.217003</v>
      </c>
      <c r="W224" s="179">
        <v>45328399960.584</v>
      </c>
      <c r="X224" s="179">
        <v>51607399955.124001</v>
      </c>
      <c r="Y224" s="179">
        <v>63038687890.353218</v>
      </c>
      <c r="Z224" s="179">
        <v>89411894563.7285</v>
      </c>
      <c r="AA224" s="179">
        <v>93141478239.098877</v>
      </c>
      <c r="AB224" s="179">
        <v>85904070614.930527</v>
      </c>
      <c r="AC224" s="179">
        <v>96204110963.155029</v>
      </c>
      <c r="AD224" s="179">
        <v>84870134616.177322</v>
      </c>
      <c r="AE224" s="179">
        <v>64459376103.559776</v>
      </c>
      <c r="AF224" s="179">
        <v>73354782108.054718</v>
      </c>
      <c r="AG224" s="179">
        <v>96535747613.824417</v>
      </c>
      <c r="AH224" s="179">
        <v>103976854738.4117</v>
      </c>
      <c r="AI224" s="179">
        <v>108055603481.55653</v>
      </c>
      <c r="AJ224" s="179">
        <v>126048148261.47398</v>
      </c>
      <c r="AK224" s="179">
        <v>135203698237.97719</v>
      </c>
      <c r="AL224" s="179">
        <v>146956142398.77823</v>
      </c>
      <c r="AM224" s="179">
        <v>147194766334.41473</v>
      </c>
      <c r="AN224" s="179">
        <v>153512697970.73819</v>
      </c>
      <c r="AO224" s="179">
        <v>171735933897.33078</v>
      </c>
      <c r="AP224" s="179">
        <v>163234919052.67044</v>
      </c>
      <c r="AQ224" s="179">
        <v>168978069551.35971</v>
      </c>
      <c r="AR224" s="179">
        <v>152982979945.10342</v>
      </c>
      <c r="AS224" s="179">
        <v>151516952945.15445</v>
      </c>
      <c r="AT224" s="179">
        <v>151752749926.33109</v>
      </c>
      <c r="AU224" s="179">
        <v>135429908544.33795</v>
      </c>
      <c r="AV224" s="179">
        <v>129087560694.62465</v>
      </c>
      <c r="AW224" s="179">
        <v>197018960967.97208</v>
      </c>
      <c r="AX224" s="179">
        <v>255806928394.81137</v>
      </c>
      <c r="AY224" s="179">
        <v>288867202055.1438</v>
      </c>
      <c r="AZ224" s="179">
        <v>303858667884.83514</v>
      </c>
      <c r="BA224" s="179">
        <v>333077117253.68378</v>
      </c>
      <c r="BB224" s="179">
        <v>316131245860.68176</v>
      </c>
      <c r="BC224" s="179">
        <v>329754054488.85455</v>
      </c>
      <c r="BD224" s="179">
        <v>417363825016.28589</v>
      </c>
      <c r="BE224" s="179">
        <v>458199486480.57581</v>
      </c>
      <c r="BF224" s="179">
        <v>434400545085.8111</v>
      </c>
      <c r="BG224" s="179">
        <v>400886013595.57318</v>
      </c>
      <c r="BH224" s="179">
        <v>381198869776.10565</v>
      </c>
      <c r="BI224" s="179">
        <v>346709790458.56305</v>
      </c>
      <c r="BJ224" s="179">
        <v>323585509674.48059</v>
      </c>
      <c r="BK224" s="179">
        <v>381448814653.45642</v>
      </c>
      <c r="BL224" s="179">
        <v>404158882459.02386</v>
      </c>
      <c r="BM224" s="179">
        <v>388531226582.35052</v>
      </c>
      <c r="BN224" s="179">
        <v>337619569570.51062</v>
      </c>
      <c r="BO224" s="179">
        <v>419015636064.71143</v>
      </c>
      <c r="BP224" s="179">
        <v>405869718462.34259</v>
      </c>
    </row>
    <row r="225" spans="1:68">
      <c r="A225" s="179" t="s">
        <v>876</v>
      </c>
      <c r="B225" s="179">
        <f t="shared" si="3"/>
        <v>0</v>
      </c>
      <c r="C225" s="179" t="s">
        <v>877</v>
      </c>
      <c r="D225" s="179" t="s">
        <v>494</v>
      </c>
      <c r="E225" s="179" t="s">
        <v>495</v>
      </c>
      <c r="F225" s="179">
        <v>47156704038.645515</v>
      </c>
      <c r="G225" s="179">
        <v>50316837320.196487</v>
      </c>
      <c r="H225" s="179">
        <v>53705580292.751671</v>
      </c>
      <c r="I225" s="179">
        <v>60408326895.492943</v>
      </c>
      <c r="J225" s="179">
        <v>69158968713.736435</v>
      </c>
      <c r="K225" s="179">
        <v>74274468929.555298</v>
      </c>
      <c r="L225" s="179">
        <v>62456580600.221947</v>
      </c>
      <c r="M225" s="179">
        <v>68712964033.034157</v>
      </c>
      <c r="N225" s="179">
        <v>72018446516.85849</v>
      </c>
      <c r="O225" s="179">
        <v>79171992803.87793</v>
      </c>
      <c r="P225" s="179">
        <v>85711844745.381027</v>
      </c>
      <c r="Q225" s="179">
        <v>91169238617.006699</v>
      </c>
      <c r="R225" s="179">
        <v>91653327298.465637</v>
      </c>
      <c r="S225" s="179">
        <v>104781402787.84634</v>
      </c>
      <c r="T225" s="179">
        <v>126934580819.77946</v>
      </c>
      <c r="U225" s="179">
        <v>135867507778.86081</v>
      </c>
      <c r="V225" s="179">
        <v>132608444905.69809</v>
      </c>
      <c r="W225" s="179">
        <v>153553587500.20935</v>
      </c>
      <c r="X225" s="179">
        <v>174721808669.43265</v>
      </c>
      <c r="Y225" s="179">
        <v>195693075714.57623</v>
      </c>
      <c r="Z225" s="179">
        <v>235962137572.70038</v>
      </c>
      <c r="AA225" s="179">
        <v>250140235557.80493</v>
      </c>
      <c r="AB225" s="179">
        <v>258792952697.99396</v>
      </c>
      <c r="AC225" s="179">
        <v>273951368607.72208</v>
      </c>
      <c r="AD225" s="179">
        <v>272676312680.72052</v>
      </c>
      <c r="AE225" s="179">
        <v>296510765025.75385</v>
      </c>
      <c r="AF225" s="179">
        <v>314034899880.35278</v>
      </c>
      <c r="AG225" s="179">
        <v>348690416778.91943</v>
      </c>
      <c r="AH225" s="179">
        <v>374679367843.73608</v>
      </c>
      <c r="AI225" s="179">
        <v>378112968995.0791</v>
      </c>
      <c r="AJ225" s="179">
        <v>407066728402.15186</v>
      </c>
      <c r="AK225" s="179">
        <v>362155183204.79938</v>
      </c>
      <c r="AL225" s="179">
        <v>384619247242.88586</v>
      </c>
      <c r="AM225" s="179">
        <v>380986910706.29211</v>
      </c>
      <c r="AN225" s="179">
        <v>432196055451.7215</v>
      </c>
      <c r="AO225" s="179">
        <v>479707317022.57031</v>
      </c>
      <c r="AP225" s="179">
        <v>524814569929.73108</v>
      </c>
      <c r="AQ225" s="179">
        <v>550548635667.58289</v>
      </c>
      <c r="AR225" s="179">
        <v>558258844530.03101</v>
      </c>
      <c r="AS225" s="179">
        <v>598146534949.58752</v>
      </c>
      <c r="AT225" s="179">
        <v>630242098666.01562</v>
      </c>
      <c r="AU225" s="179">
        <v>645678633202.56824</v>
      </c>
      <c r="AV225" s="179">
        <v>677426539845.30237</v>
      </c>
      <c r="AW225" s="179">
        <v>791026613085.97461</v>
      </c>
      <c r="AX225" s="179">
        <v>917083438858.51855</v>
      </c>
      <c r="AY225" s="179">
        <v>1050602379999.6323</v>
      </c>
      <c r="AZ225" s="179">
        <v>1196088124853.0815</v>
      </c>
      <c r="BA225" s="179">
        <v>1504162366252.8945</v>
      </c>
      <c r="BB225" s="179">
        <v>1527612730733.4111</v>
      </c>
      <c r="BC225" s="179">
        <v>1683173926491.5034</v>
      </c>
      <c r="BD225" s="179">
        <v>2062468955967.6965</v>
      </c>
      <c r="BE225" s="179">
        <v>2277346353954.8921</v>
      </c>
      <c r="BF225" s="179">
        <v>2302398278355.3418</v>
      </c>
      <c r="BG225" s="179">
        <v>2362708983919.2241</v>
      </c>
      <c r="BH225" s="179">
        <v>2587787935996.415</v>
      </c>
      <c r="BI225" s="179">
        <v>2704835939982.5103</v>
      </c>
      <c r="BJ225" s="179">
        <v>3010757329892.833</v>
      </c>
      <c r="BK225" s="179">
        <v>3433883301221.7539</v>
      </c>
      <c r="BL225" s="179">
        <v>3534209044993.8716</v>
      </c>
      <c r="BM225" s="179">
        <v>3658004814522.0083</v>
      </c>
      <c r="BN225" s="179">
        <v>3490012356687.834</v>
      </c>
      <c r="BO225" s="179">
        <v>4062783801939.271</v>
      </c>
      <c r="BP225" s="179">
        <v>4361631457999.0166</v>
      </c>
    </row>
    <row r="226" spans="1:68">
      <c r="A226" s="179" t="s">
        <v>944</v>
      </c>
      <c r="B226" s="179">
        <f t="shared" si="3"/>
        <v>0</v>
      </c>
      <c r="C226" s="179" t="s">
        <v>945</v>
      </c>
      <c r="D226" s="179" t="s">
        <v>494</v>
      </c>
      <c r="E226" s="179" t="s">
        <v>495</v>
      </c>
      <c r="F226" s="179">
        <v>47156704038.645477</v>
      </c>
      <c r="G226" s="179">
        <v>50316837320.196457</v>
      </c>
      <c r="H226" s="179">
        <v>53705580292.75164</v>
      </c>
      <c r="I226" s="179">
        <v>60408326895.492905</v>
      </c>
      <c r="J226" s="179">
        <v>69158968713.736404</v>
      </c>
      <c r="K226" s="179">
        <v>74274468929.555267</v>
      </c>
      <c r="L226" s="179">
        <v>62456580600.221931</v>
      </c>
      <c r="M226" s="179">
        <v>68712964033.034142</v>
      </c>
      <c r="N226" s="179">
        <v>72018446516.858444</v>
      </c>
      <c r="O226" s="179">
        <v>79171992803.877899</v>
      </c>
      <c r="P226" s="179">
        <v>85711844745.380981</v>
      </c>
      <c r="Q226" s="179">
        <v>91169238617.006653</v>
      </c>
      <c r="R226" s="179">
        <v>91653327298.465622</v>
      </c>
      <c r="S226" s="179">
        <v>104781402787.84631</v>
      </c>
      <c r="T226" s="179">
        <v>126934580819.77943</v>
      </c>
      <c r="U226" s="179">
        <v>135867507778.86075</v>
      </c>
      <c r="V226" s="179">
        <v>132608444905.69803</v>
      </c>
      <c r="W226" s="179">
        <v>153553587500.20929</v>
      </c>
      <c r="X226" s="179">
        <v>174721808669.43256</v>
      </c>
      <c r="Y226" s="179">
        <v>195693075714.57617</v>
      </c>
      <c r="Z226" s="179">
        <v>235962137572.70035</v>
      </c>
      <c r="AA226" s="179">
        <v>250140235557.80493</v>
      </c>
      <c r="AB226" s="179">
        <v>258792952697.99396</v>
      </c>
      <c r="AC226" s="179">
        <v>273951368607.72208</v>
      </c>
      <c r="AD226" s="179">
        <v>272676312680.72052</v>
      </c>
      <c r="AE226" s="179">
        <v>296510765025.75385</v>
      </c>
      <c r="AF226" s="179">
        <v>314034899880.35278</v>
      </c>
      <c r="AG226" s="179">
        <v>348690416778.91943</v>
      </c>
      <c r="AH226" s="179">
        <v>374679367843.73608</v>
      </c>
      <c r="AI226" s="179">
        <v>378112968995.0791</v>
      </c>
      <c r="AJ226" s="179">
        <v>407066728402.15186</v>
      </c>
      <c r="AK226" s="179">
        <v>362155183204.79938</v>
      </c>
      <c r="AL226" s="179">
        <v>384619247242.88586</v>
      </c>
      <c r="AM226" s="179">
        <v>380986910706.29211</v>
      </c>
      <c r="AN226" s="179">
        <v>432196055451.7215</v>
      </c>
      <c r="AO226" s="179">
        <v>479707317022.57031</v>
      </c>
      <c r="AP226" s="179">
        <v>524814569929.73108</v>
      </c>
      <c r="AQ226" s="179">
        <v>550548635667.58289</v>
      </c>
      <c r="AR226" s="179">
        <v>558258844530.03101</v>
      </c>
      <c r="AS226" s="179">
        <v>598146534949.58752</v>
      </c>
      <c r="AT226" s="179">
        <v>630242098666.01562</v>
      </c>
      <c r="AU226" s="179">
        <v>645678633202.56824</v>
      </c>
      <c r="AV226" s="179">
        <v>677426539845.30237</v>
      </c>
      <c r="AW226" s="179">
        <v>791026613085.97461</v>
      </c>
      <c r="AX226" s="179">
        <v>917083438858.51855</v>
      </c>
      <c r="AY226" s="179">
        <v>1050602379999.6323</v>
      </c>
      <c r="AZ226" s="179">
        <v>1196088124853.0815</v>
      </c>
      <c r="BA226" s="179">
        <v>1504162366252.8945</v>
      </c>
      <c r="BB226" s="179">
        <v>1527612730733.4111</v>
      </c>
      <c r="BC226" s="179">
        <v>1683173926491.5034</v>
      </c>
      <c r="BD226" s="179">
        <v>2062468955967.6965</v>
      </c>
      <c r="BE226" s="179">
        <v>2277346353954.8921</v>
      </c>
      <c r="BF226" s="179">
        <v>2302398278355.3418</v>
      </c>
      <c r="BG226" s="179">
        <v>2362708983919.2241</v>
      </c>
      <c r="BH226" s="179">
        <v>2587787935996.415</v>
      </c>
      <c r="BI226" s="179">
        <v>2704835939982.5103</v>
      </c>
      <c r="BJ226" s="179">
        <v>3010757329892.833</v>
      </c>
      <c r="BK226" s="179">
        <v>3433883301221.7539</v>
      </c>
      <c r="BL226" s="179">
        <v>3534209044993.8716</v>
      </c>
      <c r="BM226" s="179">
        <v>3658004814522.0083</v>
      </c>
      <c r="BN226" s="179">
        <v>3490012356687.834</v>
      </c>
      <c r="BO226" s="179">
        <v>4062783801939.271</v>
      </c>
      <c r="BP226" s="179">
        <v>4361631457999.0166</v>
      </c>
    </row>
    <row r="227" spans="1:68">
      <c r="A227" s="179" t="s">
        <v>899</v>
      </c>
      <c r="B227" s="179">
        <f t="shared" si="3"/>
        <v>1</v>
      </c>
      <c r="C227" s="179" t="s">
        <v>900</v>
      </c>
      <c r="D227" s="179" t="s">
        <v>494</v>
      </c>
      <c r="E227" s="179" t="s">
        <v>495</v>
      </c>
      <c r="BB227" s="179">
        <v>14586253383.063168</v>
      </c>
      <c r="BC227" s="179">
        <v>12231264525.067104</v>
      </c>
      <c r="BD227" s="179">
        <v>14602072410.950586</v>
      </c>
      <c r="BE227" s="179">
        <v>14907308932.753429</v>
      </c>
      <c r="BF227" s="179">
        <v>11931472169.491526</v>
      </c>
      <c r="BG227" s="179">
        <v>18426469016.94915</v>
      </c>
      <c r="BH227" s="179">
        <v>13962212847.457626</v>
      </c>
      <c r="BI227" s="179">
        <v>11997800760.224182</v>
      </c>
    </row>
    <row r="228" spans="1:68">
      <c r="A228" s="179" t="s">
        <v>89</v>
      </c>
      <c r="B228" s="179">
        <f t="shared" si="3"/>
        <v>1</v>
      </c>
      <c r="C228" s="179" t="s">
        <v>622</v>
      </c>
      <c r="D228" s="179" t="s">
        <v>494</v>
      </c>
      <c r="E228" s="179" t="s">
        <v>495</v>
      </c>
      <c r="F228" s="179">
        <v>12072126075.397039</v>
      </c>
      <c r="G228" s="179">
        <v>13834300571.484875</v>
      </c>
      <c r="H228" s="179">
        <v>16138545209.245983</v>
      </c>
      <c r="I228" s="179">
        <v>19074913947.719639</v>
      </c>
      <c r="J228" s="179">
        <v>21343844643.73407</v>
      </c>
      <c r="K228" s="179">
        <v>24756958694.92382</v>
      </c>
      <c r="L228" s="179">
        <v>28721062242.163357</v>
      </c>
      <c r="M228" s="179">
        <v>31647119228.198189</v>
      </c>
      <c r="N228" s="179">
        <v>31475548481.409546</v>
      </c>
      <c r="O228" s="179">
        <v>36038711599.540985</v>
      </c>
      <c r="P228" s="179">
        <v>40992995008.319466</v>
      </c>
      <c r="Q228" s="179">
        <v>46619420359.281441</v>
      </c>
      <c r="R228" s="179">
        <v>59132415221.330574</v>
      </c>
      <c r="S228" s="179">
        <v>78639525985.151337</v>
      </c>
      <c r="T228" s="179">
        <v>97274006345.543701</v>
      </c>
      <c r="U228" s="179">
        <v>114777046376.8116</v>
      </c>
      <c r="V228" s="179">
        <v>118507184779.90549</v>
      </c>
      <c r="W228" s="179">
        <v>132449277108.43373</v>
      </c>
      <c r="X228" s="179">
        <v>160599687500</v>
      </c>
      <c r="Y228" s="179">
        <v>214601955875.06198</v>
      </c>
      <c r="Z228" s="179">
        <v>232766822928.75375</v>
      </c>
      <c r="AA228" s="179">
        <v>202807891511.98416</v>
      </c>
      <c r="AB228" s="179">
        <v>195996754505.5278</v>
      </c>
      <c r="AC228" s="179">
        <v>170951185614.84918</v>
      </c>
      <c r="AD228" s="179">
        <v>172102910370.52371</v>
      </c>
      <c r="AE228" s="179">
        <v>180793463796.47748</v>
      </c>
      <c r="AF228" s="179">
        <v>251321075204.94238</v>
      </c>
      <c r="AG228" s="179">
        <v>318747935588.19568</v>
      </c>
      <c r="AH228" s="179">
        <v>376160409941.43695</v>
      </c>
      <c r="AI228" s="179">
        <v>414757056921.99579</v>
      </c>
      <c r="AJ228" s="179">
        <v>536558591250.40808</v>
      </c>
      <c r="AK228" s="179">
        <v>577166174539.63171</v>
      </c>
      <c r="AL228" s="179">
        <v>630916018202.50293</v>
      </c>
      <c r="AM228" s="179">
        <v>525075636030.8537</v>
      </c>
      <c r="AN228" s="179">
        <v>530562634455.34711</v>
      </c>
      <c r="AO228" s="179">
        <v>614609020549.77319</v>
      </c>
      <c r="AP228" s="179">
        <v>642588992512.80701</v>
      </c>
      <c r="AQ228" s="179">
        <v>590077272727.27271</v>
      </c>
      <c r="AR228" s="179">
        <v>619214834614.09949</v>
      </c>
      <c r="AS228" s="179">
        <v>634907542858.30249</v>
      </c>
      <c r="AT228" s="179">
        <v>598363313494.9032</v>
      </c>
      <c r="AU228" s="179">
        <v>627830029412.20544</v>
      </c>
      <c r="AV228" s="179">
        <v>708756677088.62866</v>
      </c>
      <c r="AW228" s="179">
        <v>907491523174.11572</v>
      </c>
      <c r="AX228" s="179">
        <v>1069055675273.7479</v>
      </c>
      <c r="AY228" s="179">
        <v>1153715822717.5093</v>
      </c>
      <c r="AZ228" s="179">
        <v>1260398977831.7629</v>
      </c>
      <c r="BA228" s="179">
        <v>1474002579820.0046</v>
      </c>
      <c r="BB228" s="179">
        <v>1631863493552.3433</v>
      </c>
      <c r="BC228" s="179">
        <v>1491472923706.6396</v>
      </c>
      <c r="BD228" s="179">
        <v>1422108199783.3699</v>
      </c>
      <c r="BE228" s="179">
        <v>1480710495710.1299</v>
      </c>
      <c r="BF228" s="179">
        <v>1324750738725.0002</v>
      </c>
      <c r="BG228" s="179">
        <v>1355579535912.5637</v>
      </c>
      <c r="BH228" s="179">
        <v>1371820537888.6008</v>
      </c>
      <c r="BI228" s="179">
        <v>1196156971279.6868</v>
      </c>
      <c r="BJ228" s="179">
        <v>1233554967011.7102</v>
      </c>
      <c r="BK228" s="179">
        <v>1313245330197.6611</v>
      </c>
      <c r="BL228" s="179">
        <v>1421702715218.0129</v>
      </c>
      <c r="BM228" s="179">
        <v>1394320055129.3845</v>
      </c>
      <c r="BN228" s="179">
        <v>1276962685648.2307</v>
      </c>
      <c r="BO228" s="179">
        <v>1427380681294.5508</v>
      </c>
      <c r="BP228" s="179">
        <v>1397509272054.4802</v>
      </c>
    </row>
    <row r="229" spans="1:68">
      <c r="A229" s="179" t="s">
        <v>749</v>
      </c>
      <c r="B229" s="179">
        <f t="shared" si="3"/>
        <v>0</v>
      </c>
      <c r="C229" s="179" t="s">
        <v>750</v>
      </c>
      <c r="D229" s="179" t="s">
        <v>494</v>
      </c>
      <c r="E229" s="179" t="s">
        <v>495</v>
      </c>
      <c r="F229" s="179">
        <v>1409873949.5798321</v>
      </c>
      <c r="G229" s="179">
        <v>1444327731.092437</v>
      </c>
      <c r="H229" s="179">
        <v>1434156378.6008229</v>
      </c>
      <c r="I229" s="179">
        <v>1240672268.907563</v>
      </c>
      <c r="J229" s="179">
        <v>1309747899.1596639</v>
      </c>
      <c r="K229" s="179">
        <v>1698319327.7310925</v>
      </c>
      <c r="L229" s="179">
        <v>1751470588.2352941</v>
      </c>
      <c r="M229" s="179">
        <v>1859465020.5761316</v>
      </c>
      <c r="N229" s="179">
        <v>1801344537.8151259</v>
      </c>
      <c r="O229" s="179">
        <v>1965546218.4873948</v>
      </c>
      <c r="P229" s="179">
        <v>2296470588.2352939</v>
      </c>
      <c r="Q229" s="179">
        <v>2369308600.3372684</v>
      </c>
      <c r="R229" s="179">
        <v>2553936348.4087105</v>
      </c>
      <c r="S229" s="179">
        <v>2875625000</v>
      </c>
      <c r="T229" s="179">
        <v>3574586466.1654134</v>
      </c>
      <c r="U229" s="179">
        <v>3791298145.5064197</v>
      </c>
      <c r="V229" s="179">
        <v>3591319857.3127227</v>
      </c>
      <c r="W229" s="179">
        <v>4104509582.8635855</v>
      </c>
      <c r="X229" s="179">
        <v>2733183856.5022421</v>
      </c>
      <c r="Y229" s="179">
        <v>3364611432.2414899</v>
      </c>
      <c r="Z229" s="179">
        <v>4024621899.5765271</v>
      </c>
      <c r="AA229" s="179">
        <v>4415844155.8441563</v>
      </c>
      <c r="AB229" s="179">
        <v>4768765016.8188372</v>
      </c>
      <c r="AC229" s="179">
        <v>5167913302.1674452</v>
      </c>
      <c r="AD229" s="179">
        <v>6043474842.7672949</v>
      </c>
      <c r="AE229" s="179">
        <v>5978460972.0176735</v>
      </c>
      <c r="AF229" s="179">
        <v>6405210563.8829412</v>
      </c>
      <c r="AG229" s="179">
        <v>6682167119.565217</v>
      </c>
      <c r="AH229" s="179">
        <v>6978371581.2637539</v>
      </c>
      <c r="AI229" s="179">
        <v>6987267683.7725391</v>
      </c>
      <c r="AJ229" s="179">
        <v>8032551173.240139</v>
      </c>
      <c r="AK229" s="179">
        <v>9000362581.5808563</v>
      </c>
      <c r="AL229" s="179">
        <v>9703011635.8658466</v>
      </c>
      <c r="AM229" s="179">
        <v>10338679635.761589</v>
      </c>
      <c r="AN229" s="179">
        <v>11717604208.822338</v>
      </c>
      <c r="AO229" s="179">
        <v>13029697560.975609</v>
      </c>
      <c r="AP229" s="179">
        <v>13897738375.248777</v>
      </c>
      <c r="AQ229" s="179">
        <v>15091913883.709103</v>
      </c>
      <c r="AR229" s="179">
        <v>15794972847.168346</v>
      </c>
      <c r="AS229" s="179">
        <v>15656327859.569649</v>
      </c>
      <c r="AT229" s="179">
        <v>16330814179.976625</v>
      </c>
      <c r="AU229" s="179">
        <v>15749753804.834377</v>
      </c>
      <c r="AV229" s="179">
        <v>16536535647.083422</v>
      </c>
      <c r="AW229" s="179">
        <v>18881765437.215084</v>
      </c>
      <c r="AX229" s="179">
        <v>20662525941.29855</v>
      </c>
      <c r="AY229" s="179">
        <v>24405791044.776119</v>
      </c>
      <c r="AZ229" s="179">
        <v>28279802451.2714</v>
      </c>
      <c r="BA229" s="179">
        <v>32350238662.945221</v>
      </c>
      <c r="BB229" s="179">
        <v>40713826320.502251</v>
      </c>
      <c r="BC229" s="179">
        <v>42066223971.01693</v>
      </c>
      <c r="BD229" s="179">
        <v>58636160848.94973</v>
      </c>
      <c r="BE229" s="179">
        <v>67753284134.991264</v>
      </c>
      <c r="BF229" s="179">
        <v>70447217163.616745</v>
      </c>
      <c r="BG229" s="179">
        <v>77000578207.390915</v>
      </c>
      <c r="BH229" s="179">
        <v>82528535572.542938</v>
      </c>
      <c r="BI229" s="179">
        <v>85140955516.750458</v>
      </c>
      <c r="BJ229" s="179">
        <v>88012281909.752197</v>
      </c>
      <c r="BK229" s="179">
        <v>94376237831.577835</v>
      </c>
      <c r="BL229" s="179">
        <v>94493871351.421692</v>
      </c>
      <c r="BM229" s="179">
        <v>89014978319.070267</v>
      </c>
      <c r="BN229" s="179">
        <v>84440535698.820724</v>
      </c>
      <c r="BO229" s="179">
        <v>88496535599.3564</v>
      </c>
      <c r="BP229" s="179">
        <v>74403578363.435471</v>
      </c>
    </row>
    <row r="230" spans="1:68">
      <c r="A230" s="179" t="s">
        <v>724</v>
      </c>
      <c r="B230" s="179">
        <f t="shared" si="3"/>
        <v>0</v>
      </c>
      <c r="C230" s="179" t="s">
        <v>725</v>
      </c>
      <c r="D230" s="179" t="s">
        <v>494</v>
      </c>
      <c r="E230" s="179" t="s">
        <v>495</v>
      </c>
      <c r="F230" s="179">
        <v>12366635.744924508</v>
      </c>
      <c r="G230" s="179">
        <v>12483302.119876627</v>
      </c>
      <c r="H230" s="179">
        <v>12541635.307352684</v>
      </c>
      <c r="I230" s="179">
        <v>12833301.24473298</v>
      </c>
      <c r="J230" s="179">
        <v>13416633.11949357</v>
      </c>
      <c r="K230" s="179">
        <v>13593932.322053676</v>
      </c>
      <c r="L230" s="179">
        <v>14469078.179696616</v>
      </c>
      <c r="M230" s="179">
        <v>16742338.251986379</v>
      </c>
      <c r="N230" s="179">
        <v>14599999.992699999</v>
      </c>
      <c r="O230" s="179">
        <v>15849999.992075</v>
      </c>
      <c r="P230" s="179">
        <v>16299999.99185</v>
      </c>
      <c r="Q230" s="179">
        <v>19624746.450304259</v>
      </c>
      <c r="R230" s="179">
        <v>22944849.115504682</v>
      </c>
      <c r="S230" s="179">
        <v>24196018.376722816</v>
      </c>
      <c r="T230" s="179">
        <v>31514856.307842184</v>
      </c>
      <c r="U230" s="179">
        <v>33364055.299539171</v>
      </c>
      <c r="V230" s="179">
        <v>30095602.294455066</v>
      </c>
      <c r="W230" s="179">
        <v>44496296.296296291</v>
      </c>
      <c r="X230" s="179">
        <v>49433333.333333328</v>
      </c>
      <c r="Y230" s="179">
        <v>58840740.740740739</v>
      </c>
      <c r="Z230" s="179">
        <v>68459259.259259254</v>
      </c>
      <c r="AA230" s="179">
        <v>80888888.888888881</v>
      </c>
      <c r="AB230" s="179">
        <v>86022222.222222224</v>
      </c>
      <c r="AC230" s="179">
        <v>86874074.074074075</v>
      </c>
      <c r="AD230" s="179">
        <v>98603703.703703701</v>
      </c>
      <c r="AE230" s="179">
        <v>111007407.4074074</v>
      </c>
      <c r="AF230" s="179">
        <v>130685185.18518518</v>
      </c>
      <c r="AG230" s="179">
        <v>147748148.14814815</v>
      </c>
      <c r="AH230" s="179">
        <v>172692592.59259257</v>
      </c>
      <c r="AI230" s="179">
        <v>192518518.51851848</v>
      </c>
      <c r="AJ230" s="179">
        <v>217259259.25925925</v>
      </c>
      <c r="AK230" s="179">
        <v>220540740.74074072</v>
      </c>
      <c r="AL230" s="179">
        <v>242137037.03703701</v>
      </c>
      <c r="AM230" s="179">
        <v>263755555.55555555</v>
      </c>
      <c r="AN230" s="179">
        <v>295159259.25925922</v>
      </c>
      <c r="AO230" s="179">
        <v>313485185.18518519</v>
      </c>
      <c r="AP230" s="179">
        <v>333944444.44444442</v>
      </c>
      <c r="AQ230" s="179">
        <v>374641307.97464132</v>
      </c>
      <c r="AR230" s="179">
        <v>383257331.40547961</v>
      </c>
      <c r="AS230" s="179">
        <v>406595484.37326217</v>
      </c>
      <c r="AT230" s="179">
        <v>421695769.84391803</v>
      </c>
      <c r="AU230" s="179">
        <v>458643829.01419944</v>
      </c>
      <c r="AV230" s="179">
        <v>481077373.66996628</v>
      </c>
      <c r="AW230" s="179">
        <v>469869869.86986989</v>
      </c>
      <c r="AX230" s="179">
        <v>506899999.99999994</v>
      </c>
      <c r="AY230" s="179">
        <v>547203703.70370364</v>
      </c>
      <c r="AZ230" s="179">
        <v>644414814.81481481</v>
      </c>
      <c r="BA230" s="179">
        <v>689285185.18518519</v>
      </c>
      <c r="BB230" s="179">
        <v>777691333.33333325</v>
      </c>
      <c r="BC230" s="179">
        <v>774273111.11111116</v>
      </c>
      <c r="BD230" s="179">
        <v>778718518.51851845</v>
      </c>
      <c r="BE230" s="179">
        <v>836092592.5925926</v>
      </c>
      <c r="BF230" s="179">
        <v>825381481.48148143</v>
      </c>
      <c r="BG230" s="179">
        <v>874896296.29629624</v>
      </c>
      <c r="BH230" s="179">
        <v>953170370.37037027</v>
      </c>
      <c r="BI230" s="179">
        <v>957037037.03703701</v>
      </c>
      <c r="BJ230" s="179">
        <v>1008099999.9999999</v>
      </c>
      <c r="BK230" s="179">
        <v>1058944444.4444444</v>
      </c>
      <c r="BL230" s="179">
        <v>1076922222.2222221</v>
      </c>
      <c r="BM230" s="179">
        <v>1107844444.4444444</v>
      </c>
      <c r="BN230" s="179">
        <v>884522222.22222221</v>
      </c>
      <c r="BO230" s="179">
        <v>860844444.44444442</v>
      </c>
      <c r="BP230" s="179">
        <v>961563259.25925922</v>
      </c>
    </row>
    <row r="231" spans="1:68">
      <c r="A231" s="179" t="s">
        <v>740</v>
      </c>
      <c r="B231" s="179">
        <f t="shared" si="3"/>
        <v>0</v>
      </c>
      <c r="C231" s="179" t="s">
        <v>741</v>
      </c>
      <c r="D231" s="179" t="s">
        <v>494</v>
      </c>
      <c r="E231" s="179" t="s">
        <v>495</v>
      </c>
      <c r="Z231" s="179">
        <v>170370370.37037036</v>
      </c>
      <c r="AA231" s="179">
        <v>194444444.44444442</v>
      </c>
      <c r="AB231" s="179">
        <v>183333333.33333331</v>
      </c>
      <c r="AC231" s="179">
        <v>197037037.03703701</v>
      </c>
      <c r="AD231" s="179">
        <v>251481481.48148146</v>
      </c>
      <c r="AE231" s="179">
        <v>284444444.44444442</v>
      </c>
      <c r="AF231" s="179">
        <v>340000000</v>
      </c>
      <c r="AG231" s="179">
        <v>375555555.55555552</v>
      </c>
      <c r="AH231" s="179">
        <v>429629629.62962961</v>
      </c>
      <c r="AI231" s="179">
        <v>486666666.66666663</v>
      </c>
      <c r="AJ231" s="179">
        <v>579629629.62962961</v>
      </c>
      <c r="AK231" s="179">
        <v>613703703.70370364</v>
      </c>
      <c r="AL231" s="179">
        <v>674074074.07407403</v>
      </c>
      <c r="AM231" s="179">
        <v>684814814.81481481</v>
      </c>
      <c r="AN231" s="179">
        <v>713703703.70370364</v>
      </c>
      <c r="AO231" s="179">
        <v>762962962.96296287</v>
      </c>
      <c r="AP231" s="179">
        <v>788888888.88888884</v>
      </c>
      <c r="AQ231" s="179">
        <v>805925925.92592585</v>
      </c>
      <c r="AR231" s="179">
        <v>877407407.4074074</v>
      </c>
      <c r="AS231" s="179">
        <v>921851851.85185182</v>
      </c>
      <c r="AT231" s="179">
        <v>932592592.59259248</v>
      </c>
      <c r="AU231" s="179">
        <v>892592592.59259248</v>
      </c>
      <c r="AV231" s="179">
        <v>900000000</v>
      </c>
      <c r="AW231" s="179">
        <v>987407407.40740728</v>
      </c>
      <c r="AX231" s="179">
        <v>1066666666.6666666</v>
      </c>
      <c r="AY231" s="179">
        <v>1135555555.5555556</v>
      </c>
      <c r="AZ231" s="179">
        <v>1268319185.1851852</v>
      </c>
      <c r="BA231" s="179">
        <v>1336088814.8148148</v>
      </c>
      <c r="BB231" s="179">
        <v>1437731111.1111109</v>
      </c>
      <c r="BC231" s="179">
        <v>1401507888.8888888</v>
      </c>
      <c r="BD231" s="179">
        <v>1482370370.3703704</v>
      </c>
      <c r="BE231" s="179">
        <v>1568370370.3703704</v>
      </c>
      <c r="BF231" s="179">
        <v>1598222222.2222221</v>
      </c>
      <c r="BG231" s="179">
        <v>1660222222.2222221</v>
      </c>
      <c r="BH231" s="179">
        <v>1749296296.2962961</v>
      </c>
      <c r="BI231" s="179">
        <v>1807222222.2222221</v>
      </c>
      <c r="BJ231" s="179">
        <v>1865444444.4444444</v>
      </c>
      <c r="BK231" s="179">
        <v>1996703703.7037036</v>
      </c>
      <c r="BL231" s="179">
        <v>2057074074.074074</v>
      </c>
      <c r="BM231" s="179">
        <v>2094185185.185185</v>
      </c>
      <c r="BN231" s="179">
        <v>1516000000</v>
      </c>
      <c r="BO231" s="179">
        <v>1691259259.2592592</v>
      </c>
      <c r="BP231" s="179">
        <v>2065027555.5555553</v>
      </c>
    </row>
    <row r="232" spans="1:68">
      <c r="A232" s="179" t="s">
        <v>766</v>
      </c>
      <c r="B232" s="179">
        <f t="shared" si="3"/>
        <v>0</v>
      </c>
      <c r="C232" s="179" t="s">
        <v>767</v>
      </c>
      <c r="D232" s="179" t="s">
        <v>494</v>
      </c>
      <c r="E232" s="179" t="s">
        <v>495</v>
      </c>
      <c r="BE232" s="179">
        <v>775875857.97665524</v>
      </c>
      <c r="BH232" s="179">
        <v>772921756.31372273</v>
      </c>
    </row>
    <row r="233" spans="1:68">
      <c r="A233" s="179" t="s">
        <v>968</v>
      </c>
      <c r="B233" s="179">
        <f t="shared" si="3"/>
        <v>0</v>
      </c>
      <c r="C233" s="179" t="s">
        <v>969</v>
      </c>
      <c r="D233" s="179" t="s">
        <v>494</v>
      </c>
      <c r="E233" s="179" t="s">
        <v>495</v>
      </c>
      <c r="F233" s="179">
        <v>13066633.994637216</v>
      </c>
      <c r="G233" s="179">
        <v>13999964.994254161</v>
      </c>
      <c r="H233" s="179">
        <v>14524963.681538692</v>
      </c>
      <c r="I233" s="179">
        <v>13708299.056873865</v>
      </c>
      <c r="J233" s="179">
        <v>14758296.431442928</v>
      </c>
      <c r="K233" s="179">
        <v>15108295.55629928</v>
      </c>
      <c r="L233" s="179">
        <v>16099959.743392285</v>
      </c>
      <c r="M233" s="179">
        <v>15835103.030105688</v>
      </c>
      <c r="N233" s="179">
        <v>15349999.992324999</v>
      </c>
      <c r="O233" s="179">
        <v>16649999.991674997</v>
      </c>
      <c r="P233" s="179">
        <v>18449999.990775</v>
      </c>
      <c r="Q233" s="179">
        <v>20051925.034989089</v>
      </c>
      <c r="R233" s="179">
        <v>27585802.719119396</v>
      </c>
      <c r="S233" s="179">
        <v>30165077.452595372</v>
      </c>
      <c r="T233" s="179">
        <v>32923696.177582305</v>
      </c>
      <c r="U233" s="179">
        <v>33237228.556405962</v>
      </c>
      <c r="V233" s="179">
        <v>32792846.779526368</v>
      </c>
      <c r="W233" s="179">
        <v>49353161.851851851</v>
      </c>
      <c r="X233" s="179">
        <v>60844771.481481478</v>
      </c>
      <c r="Y233" s="179">
        <v>71096359.629629627</v>
      </c>
      <c r="Z233" s="179">
        <v>82340339.629629627</v>
      </c>
      <c r="AA233" s="179">
        <v>102086539.25925925</v>
      </c>
      <c r="AB233" s="179">
        <v>113759203.33333333</v>
      </c>
      <c r="AC233" s="179">
        <v>122255349.62962963</v>
      </c>
      <c r="AD233" s="179">
        <v>135024987.77777776</v>
      </c>
      <c r="AE233" s="179">
        <v>145641705.18518516</v>
      </c>
      <c r="AF233" s="179">
        <v>160846656.66666666</v>
      </c>
      <c r="AG233" s="179">
        <v>175580647.4074074</v>
      </c>
      <c r="AH233" s="179">
        <v>200726712.59259257</v>
      </c>
      <c r="AI233" s="179">
        <v>214745002.22222221</v>
      </c>
      <c r="AJ233" s="179">
        <v>240366666.66666666</v>
      </c>
      <c r="AK233" s="179">
        <v>254829629.62962961</v>
      </c>
      <c r="AL233" s="179">
        <v>277955555.55555552</v>
      </c>
      <c r="AM233" s="179">
        <v>286307407.4074074</v>
      </c>
      <c r="AN233" s="179">
        <v>289437037.03703701</v>
      </c>
      <c r="AO233" s="179">
        <v>316007407.4074074</v>
      </c>
      <c r="AP233" s="179">
        <v>331488888.8888889</v>
      </c>
      <c r="AQ233" s="179">
        <v>347770370.37037033</v>
      </c>
      <c r="AR233" s="179">
        <v>373618518.51851851</v>
      </c>
      <c r="AS233" s="179">
        <v>390718518.51851851</v>
      </c>
      <c r="AT233" s="179">
        <v>427946037.03703701</v>
      </c>
      <c r="AU233" s="179">
        <v>462072333.33333331</v>
      </c>
      <c r="AV233" s="179">
        <v>487763851.85185182</v>
      </c>
      <c r="AW233" s="179">
        <v>509090888.88888884</v>
      </c>
      <c r="AX233" s="179">
        <v>549900185.18518519</v>
      </c>
      <c r="AY233" s="179">
        <v>579948925.92592585</v>
      </c>
      <c r="AZ233" s="179">
        <v>643501148.14814806</v>
      </c>
      <c r="BA233" s="179">
        <v>713596666.66666663</v>
      </c>
      <c r="BB233" s="179">
        <v>732663259.25925922</v>
      </c>
      <c r="BC233" s="179">
        <v>714300259.25925922</v>
      </c>
      <c r="BD233" s="179">
        <v>720447888.88888884</v>
      </c>
      <c r="BE233" s="179">
        <v>713796370.37037027</v>
      </c>
      <c r="BF233" s="179">
        <v>730032592.5925926</v>
      </c>
      <c r="BG233" s="179">
        <v>764781259.25925922</v>
      </c>
      <c r="BH233" s="179">
        <v>770901436.44111836</v>
      </c>
      <c r="BI233" s="179">
        <v>786554580.79686666</v>
      </c>
      <c r="BJ233" s="179">
        <v>814302267.07334816</v>
      </c>
      <c r="BK233" s="179">
        <v>844039068.75753331</v>
      </c>
      <c r="BL233" s="179">
        <v>884328180.52693331</v>
      </c>
      <c r="BM233" s="179">
        <v>910765709.76875174</v>
      </c>
      <c r="BN233" s="179">
        <v>869111852.75177777</v>
      </c>
      <c r="BO233" s="179">
        <v>872226063.70550358</v>
      </c>
      <c r="BP233" s="179">
        <v>948558503.1263777</v>
      </c>
    </row>
    <row r="234" spans="1:68">
      <c r="A234" s="221" t="s">
        <v>901</v>
      </c>
      <c r="B234" s="179">
        <f t="shared" si="3"/>
        <v>0</v>
      </c>
      <c r="C234" s="179" t="s">
        <v>902</v>
      </c>
      <c r="D234" s="179" t="s">
        <v>494</v>
      </c>
      <c r="E234" s="179" t="s">
        <v>495</v>
      </c>
      <c r="F234" s="179">
        <v>31038651924.715553</v>
      </c>
      <c r="G234" s="179">
        <v>32274153936.368984</v>
      </c>
      <c r="H234" s="179">
        <v>34924550100.162498</v>
      </c>
      <c r="I234" s="179">
        <v>39974355837.202454</v>
      </c>
      <c r="J234" s="179">
        <v>39238590134.768967</v>
      </c>
      <c r="K234" s="179">
        <v>43676575967.691139</v>
      </c>
      <c r="L234" s="179">
        <v>47114238410.838638</v>
      </c>
      <c r="M234" s="179">
        <v>46781000881.708031</v>
      </c>
      <c r="N234" s="179">
        <v>50124977708.063499</v>
      </c>
      <c r="O234" s="179">
        <v>57259820309.8992</v>
      </c>
      <c r="P234" s="179">
        <v>67263493916.489471</v>
      </c>
      <c r="Q234" s="179">
        <v>68574658267.43898</v>
      </c>
      <c r="R234" s="179">
        <v>77110721964.552673</v>
      </c>
      <c r="S234" s="179">
        <v>99513486866.777206</v>
      </c>
      <c r="T234" s="179">
        <v>127887926562.71619</v>
      </c>
      <c r="U234" s="179">
        <v>140884899647.39819</v>
      </c>
      <c r="V234" s="179">
        <v>151992519730.33966</v>
      </c>
      <c r="W234" s="179">
        <v>166741023605.75137</v>
      </c>
      <c r="X234" s="179">
        <v>186078689801.53699</v>
      </c>
      <c r="Y234" s="179">
        <v>222012586577.62979</v>
      </c>
      <c r="Z234" s="179">
        <v>282049229145.84839</v>
      </c>
      <c r="AA234" s="179">
        <v>389887980091.44086</v>
      </c>
      <c r="AB234" s="179">
        <v>357757127665.33112</v>
      </c>
      <c r="AC234" s="179">
        <v>314844448352.91583</v>
      </c>
      <c r="AD234" s="179">
        <v>275683682181.11804</v>
      </c>
      <c r="AE234" s="179">
        <v>254455395790.09982</v>
      </c>
      <c r="AF234" s="179">
        <v>261402850880.42862</v>
      </c>
      <c r="AG234" s="179">
        <v>297209471954.19226</v>
      </c>
      <c r="AH234" s="179">
        <v>313579138925.44635</v>
      </c>
      <c r="AI234" s="179">
        <v>319563247910.20978</v>
      </c>
      <c r="AJ234" s="179">
        <v>375424931159.04138</v>
      </c>
      <c r="AK234" s="179">
        <v>393456869265.36877</v>
      </c>
      <c r="AL234" s="179">
        <v>363862082115.38861</v>
      </c>
      <c r="AM234" s="179">
        <v>340910457626.42743</v>
      </c>
      <c r="AN234" s="179">
        <v>324862204377.18213</v>
      </c>
      <c r="AO234" s="179">
        <v>377566591336.15863</v>
      </c>
      <c r="AP234" s="179">
        <v>394512902071.40643</v>
      </c>
      <c r="AQ234" s="179">
        <v>409664928804.90503</v>
      </c>
      <c r="AR234" s="179">
        <v>396136552874.17273</v>
      </c>
      <c r="AS234" s="179">
        <v>400026185636.78265</v>
      </c>
      <c r="AT234" s="179">
        <v>424444223042.83087</v>
      </c>
      <c r="AU234" s="179">
        <v>407309506890.5014</v>
      </c>
      <c r="AV234" s="179">
        <v>443193859516.71552</v>
      </c>
      <c r="AW234" s="179">
        <v>558250655633.1073</v>
      </c>
      <c r="AX234" s="179">
        <v>693314583942.31628</v>
      </c>
      <c r="AY234" s="179">
        <v>823361208064.24585</v>
      </c>
      <c r="AZ234" s="179">
        <v>973527213201.02454</v>
      </c>
      <c r="BA234" s="179">
        <v>1127368649186.1235</v>
      </c>
      <c r="BB234" s="179">
        <v>1278243727731.7729</v>
      </c>
      <c r="BC234" s="179">
        <v>1230006172548.7021</v>
      </c>
      <c r="BD234" s="179">
        <v>1461708684777.3127</v>
      </c>
      <c r="BE234" s="179">
        <v>1649496095768.7449</v>
      </c>
      <c r="BF234" s="179">
        <v>1712723978723.0371</v>
      </c>
      <c r="BG234" s="179">
        <v>1819935185494.1392</v>
      </c>
      <c r="BH234" s="179">
        <v>1900848872303.1099</v>
      </c>
      <c r="BI234" s="179">
        <v>1695993210500.2317</v>
      </c>
      <c r="BJ234" s="179">
        <v>1576539841411.9687</v>
      </c>
      <c r="BK234" s="179">
        <v>1705941956337.7227</v>
      </c>
      <c r="BL234" s="179">
        <v>1774221939062.4463</v>
      </c>
      <c r="BM234" s="179">
        <v>1823372470679.9995</v>
      </c>
      <c r="BN234" s="179">
        <v>1714053357042.6902</v>
      </c>
      <c r="BO234" s="179">
        <v>1926457861345.4573</v>
      </c>
      <c r="BP234" s="179">
        <v>2047347019065.5254</v>
      </c>
    </row>
    <row r="235" spans="1:68">
      <c r="A235" s="179" t="s">
        <v>897</v>
      </c>
      <c r="B235" s="179">
        <f t="shared" si="3"/>
        <v>0</v>
      </c>
      <c r="C235" s="179" t="s">
        <v>898</v>
      </c>
      <c r="D235" s="179" t="s">
        <v>494</v>
      </c>
      <c r="E235" s="179" t="s">
        <v>495</v>
      </c>
      <c r="F235" s="179">
        <v>31027714943.157513</v>
      </c>
      <c r="G235" s="179">
        <v>32263804167.374622</v>
      </c>
      <c r="H235" s="179">
        <v>34913239385.50383</v>
      </c>
      <c r="I235" s="179">
        <v>39962028720.746338</v>
      </c>
      <c r="J235" s="179">
        <v>39224536060.354805</v>
      </c>
      <c r="K235" s="179">
        <v>43662665168.751122</v>
      </c>
      <c r="L235" s="179">
        <v>47099671961.870415</v>
      </c>
      <c r="M235" s="179">
        <v>46766192279.437935</v>
      </c>
      <c r="N235" s="179">
        <v>50111072585.353035</v>
      </c>
      <c r="O235" s="179">
        <v>57246081129.950302</v>
      </c>
      <c r="P235" s="179">
        <v>67248358817.601158</v>
      </c>
      <c r="Q235" s="179">
        <v>68555667236.627762</v>
      </c>
      <c r="R235" s="179">
        <v>77082698723.183258</v>
      </c>
      <c r="S235" s="179">
        <v>99480296893.042068</v>
      </c>
      <c r="T235" s="179">
        <v>127850076182.42305</v>
      </c>
      <c r="U235" s="179">
        <v>140842882957.69272</v>
      </c>
      <c r="V235" s="179">
        <v>151949762433.18961</v>
      </c>
      <c r="W235" s="179">
        <v>166682438981.62729</v>
      </c>
      <c r="X235" s="179">
        <v>185998188491.49222</v>
      </c>
      <c r="Y235" s="179">
        <v>221888413697.26181</v>
      </c>
      <c r="Z235" s="179">
        <v>281896939235.68549</v>
      </c>
      <c r="AA235" s="179">
        <v>389734246636.87061</v>
      </c>
      <c r="AB235" s="179">
        <v>357608755228.59528</v>
      </c>
      <c r="AC235" s="179">
        <v>314695230286.81958</v>
      </c>
      <c r="AD235" s="179">
        <v>275527482096.39862</v>
      </c>
      <c r="AE235" s="179">
        <v>254278552801.71677</v>
      </c>
      <c r="AF235" s="179">
        <v>261182778464.13776</v>
      </c>
      <c r="AG235" s="179">
        <v>296944898332.11188</v>
      </c>
      <c r="AH235" s="179">
        <v>313276890344.11432</v>
      </c>
      <c r="AI235" s="179">
        <v>319238233553.95563</v>
      </c>
      <c r="AJ235" s="179">
        <v>375031690306.90692</v>
      </c>
      <c r="AK235" s="179">
        <v>393057781842.0813</v>
      </c>
      <c r="AL235" s="179">
        <v>363398293662.59692</v>
      </c>
      <c r="AM235" s="179">
        <v>340402814717.36554</v>
      </c>
      <c r="AN235" s="179">
        <v>324340772654.15381</v>
      </c>
      <c r="AO235" s="179">
        <v>377022370501.93524</v>
      </c>
      <c r="AP235" s="179">
        <v>393974496885.45636</v>
      </c>
      <c r="AQ235" s="179">
        <v>409061975713.87177</v>
      </c>
      <c r="AR235" s="179">
        <v>395484290671.91101</v>
      </c>
      <c r="AS235" s="179">
        <v>399358172061.34906</v>
      </c>
      <c r="AT235" s="179">
        <v>423785327342.33667</v>
      </c>
      <c r="AU235" s="179">
        <v>406642457658.92816</v>
      </c>
      <c r="AV235" s="179">
        <v>442445993204.25714</v>
      </c>
      <c r="AW235" s="179">
        <v>557495188798.27258</v>
      </c>
      <c r="AX235" s="179">
        <v>692416392727.32434</v>
      </c>
      <c r="AY235" s="179">
        <v>822378325932.18567</v>
      </c>
      <c r="AZ235" s="179">
        <v>972440937663.84814</v>
      </c>
      <c r="BA235" s="179">
        <v>1126288215958.8279</v>
      </c>
      <c r="BB235" s="179">
        <v>1277264006648.2043</v>
      </c>
      <c r="BC235" s="179">
        <v>1229155220209.9429</v>
      </c>
      <c r="BD235" s="179">
        <v>1460726974193.6492</v>
      </c>
      <c r="BE235" s="179">
        <v>1648437203064.262</v>
      </c>
      <c r="BF235" s="179">
        <v>1711634494143.7334</v>
      </c>
      <c r="BG235" s="179">
        <v>1818610270272.4182</v>
      </c>
      <c r="BH235" s="179">
        <v>1899461295889.2517</v>
      </c>
      <c r="BI235" s="179">
        <v>1694601782532.8965</v>
      </c>
      <c r="BJ235" s="179">
        <v>1575080887302.1497</v>
      </c>
      <c r="BK235" s="179">
        <v>1704412183051.2266</v>
      </c>
      <c r="BL235" s="179">
        <v>1772634125817.1646</v>
      </c>
      <c r="BM235" s="179">
        <v>1821727380112.9546</v>
      </c>
      <c r="BN235" s="179">
        <v>1712869841645.042</v>
      </c>
      <c r="BO235" s="179">
        <v>1925171173472.2744</v>
      </c>
      <c r="BP235" s="179">
        <v>2045758612586.3716</v>
      </c>
    </row>
    <row r="236" spans="1:68">
      <c r="A236" s="179" t="s">
        <v>946</v>
      </c>
      <c r="B236" s="179">
        <f t="shared" si="3"/>
        <v>0</v>
      </c>
      <c r="C236" s="179" t="s">
        <v>947</v>
      </c>
      <c r="D236" s="179" t="s">
        <v>494</v>
      </c>
      <c r="E236" s="179" t="s">
        <v>495</v>
      </c>
      <c r="F236" s="179">
        <v>31038651924.715542</v>
      </c>
      <c r="G236" s="179">
        <v>32274153936.368973</v>
      </c>
      <c r="H236" s="179">
        <v>34924550100.162491</v>
      </c>
      <c r="I236" s="179">
        <v>39974355837.202438</v>
      </c>
      <c r="J236" s="179">
        <v>39238590134.768967</v>
      </c>
      <c r="K236" s="179">
        <v>43676575967.691132</v>
      </c>
      <c r="L236" s="179">
        <v>47114238410.838631</v>
      </c>
      <c r="M236" s="179">
        <v>46781000881.708023</v>
      </c>
      <c r="N236" s="179">
        <v>50124977708.063492</v>
      </c>
      <c r="O236" s="179">
        <v>57259820309.899193</v>
      </c>
      <c r="P236" s="179">
        <v>67263493916.489464</v>
      </c>
      <c r="Q236" s="179">
        <v>68574658267.438957</v>
      </c>
      <c r="R236" s="179">
        <v>77110721964.552643</v>
      </c>
      <c r="S236" s="179">
        <v>99513486866.777176</v>
      </c>
      <c r="T236" s="179">
        <v>127887926562.71614</v>
      </c>
      <c r="U236" s="179">
        <v>140884899647.39822</v>
      </c>
      <c r="V236" s="179">
        <v>151992519730.3396</v>
      </c>
      <c r="W236" s="179">
        <v>166741023605.75131</v>
      </c>
      <c r="X236" s="179">
        <v>186078689801.53696</v>
      </c>
      <c r="Y236" s="179">
        <v>222012586577.62985</v>
      </c>
      <c r="Z236" s="179">
        <v>282049229145.84839</v>
      </c>
      <c r="AA236" s="179">
        <v>389887980091.44098</v>
      </c>
      <c r="AB236" s="179">
        <v>357757127665.3313</v>
      </c>
      <c r="AC236" s="179">
        <v>314844448352.91583</v>
      </c>
      <c r="AD236" s="179">
        <v>275683682181.1181</v>
      </c>
      <c r="AE236" s="179">
        <v>254455395790.09991</v>
      </c>
      <c r="AF236" s="179">
        <v>261402850880.42862</v>
      </c>
      <c r="AG236" s="179">
        <v>297209471954.1922</v>
      </c>
      <c r="AH236" s="179">
        <v>313579138925.44617</v>
      </c>
      <c r="AI236" s="179">
        <v>319563247910.20978</v>
      </c>
      <c r="AJ236" s="179">
        <v>375424931159.04126</v>
      </c>
      <c r="AK236" s="179">
        <v>393456869265.36859</v>
      </c>
      <c r="AL236" s="179">
        <v>363862082115.38849</v>
      </c>
      <c r="AM236" s="179">
        <v>340910457626.42737</v>
      </c>
      <c r="AN236" s="179">
        <v>324862204377.18188</v>
      </c>
      <c r="AO236" s="179">
        <v>377566591336.15833</v>
      </c>
      <c r="AP236" s="179">
        <v>394512902071.40637</v>
      </c>
      <c r="AQ236" s="179">
        <v>409664928804.90497</v>
      </c>
      <c r="AR236" s="179">
        <v>396136552874.17267</v>
      </c>
      <c r="AS236" s="179">
        <v>400026185636.78241</v>
      </c>
      <c r="AT236" s="179">
        <v>424444223042.83087</v>
      </c>
      <c r="AU236" s="179">
        <v>407309506890.50146</v>
      </c>
      <c r="AV236" s="179">
        <v>443193859516.71521</v>
      </c>
      <c r="AW236" s="179">
        <v>558250655633.10693</v>
      </c>
      <c r="AX236" s="179">
        <v>693314583942.31604</v>
      </c>
      <c r="AY236" s="179">
        <v>823361208064.24536</v>
      </c>
      <c r="AZ236" s="179">
        <v>973527213201.0238</v>
      </c>
      <c r="BA236" s="179">
        <v>1127368649186.1235</v>
      </c>
      <c r="BB236" s="179">
        <v>1278243727731.7727</v>
      </c>
      <c r="BC236" s="179">
        <v>1230006172548.7017</v>
      </c>
      <c r="BD236" s="179">
        <v>1461708684777.3118</v>
      </c>
      <c r="BE236" s="179">
        <v>1649496095768.7451</v>
      </c>
      <c r="BF236" s="179">
        <v>1712723978723.0366</v>
      </c>
      <c r="BG236" s="179">
        <v>1819935185494.1387</v>
      </c>
      <c r="BH236" s="179">
        <v>1900848872303.1096</v>
      </c>
      <c r="BI236" s="179">
        <v>1695993210500.2319</v>
      </c>
      <c r="BJ236" s="179">
        <v>1576539841411.9683</v>
      </c>
      <c r="BK236" s="179">
        <v>1705941956337.7239</v>
      </c>
      <c r="BL236" s="179">
        <v>1774221939062.446</v>
      </c>
      <c r="BM236" s="179">
        <v>1823372470680.0002</v>
      </c>
      <c r="BN236" s="179">
        <v>1714053357042.6909</v>
      </c>
      <c r="BO236" s="179">
        <v>1926457861345.4578</v>
      </c>
      <c r="BP236" s="179">
        <v>2047347019065.5273</v>
      </c>
    </row>
    <row r="237" spans="1:68">
      <c r="A237" s="179" t="s">
        <v>880</v>
      </c>
      <c r="B237" s="179">
        <f t="shared" si="3"/>
        <v>2</v>
      </c>
      <c r="C237" s="179" t="s">
        <v>881</v>
      </c>
      <c r="D237" s="179" t="s">
        <v>494</v>
      </c>
      <c r="E237" s="179" t="s">
        <v>495</v>
      </c>
      <c r="F237" s="179">
        <v>1126364161.7644002</v>
      </c>
      <c r="G237" s="179">
        <v>1222860428.555027</v>
      </c>
      <c r="H237" s="179">
        <v>1328259624.7221701</v>
      </c>
      <c r="I237" s="179">
        <v>1351234926.3389859</v>
      </c>
      <c r="J237" s="179">
        <v>1388282600.1961017</v>
      </c>
      <c r="K237" s="179">
        <v>1446869619.3189821</v>
      </c>
      <c r="L237" s="179">
        <v>1484491675.7165182</v>
      </c>
      <c r="M237" s="179">
        <v>1607409539.3664834</v>
      </c>
      <c r="N237" s="179">
        <v>1677771400.5679824</v>
      </c>
      <c r="O237" s="179">
        <v>1847501441.2622097</v>
      </c>
      <c r="P237" s="179">
        <v>2100229759.0471847</v>
      </c>
      <c r="Q237" s="179">
        <v>2288340041.0348649</v>
      </c>
      <c r="R237" s="179">
        <v>2483055722.23738</v>
      </c>
      <c r="S237" s="179">
        <v>3077254460.3022814</v>
      </c>
      <c r="T237" s="179">
        <v>3958931659.8475924</v>
      </c>
      <c r="U237" s="179">
        <v>4823090191.9100809</v>
      </c>
      <c r="V237" s="179">
        <v>6013210815.6611452</v>
      </c>
      <c r="W237" s="179">
        <v>7499005639.3764896</v>
      </c>
      <c r="X237" s="179">
        <v>8128719315.0792007</v>
      </c>
      <c r="Y237" s="179">
        <v>8418407786.6059923</v>
      </c>
      <c r="Z237" s="179">
        <v>8951800017.9036007</v>
      </c>
      <c r="AA237" s="179">
        <v>10753888154.279812</v>
      </c>
      <c r="AB237" s="179">
        <v>8732542273.7342396</v>
      </c>
      <c r="AC237" s="179">
        <v>8230153846.1538467</v>
      </c>
      <c r="AD237" s="179">
        <v>10447615384.615385</v>
      </c>
      <c r="AE237" s="179">
        <v>8075259600.3398018</v>
      </c>
      <c r="AF237" s="179">
        <v>10092200000</v>
      </c>
      <c r="AG237" s="179">
        <v>12093333333.333334</v>
      </c>
      <c r="AH237" s="179">
        <v>14372555555.555559</v>
      </c>
      <c r="AI237" s="179">
        <v>21408111111.111115</v>
      </c>
      <c r="AJ237" s="179">
        <v>33641222222.222225</v>
      </c>
      <c r="AK237" s="179">
        <v>44171194366.203911</v>
      </c>
      <c r="AL237" s="179">
        <v>7031933491.8489866</v>
      </c>
      <c r="AM237" s="179">
        <v>8881010081.2494221</v>
      </c>
      <c r="AN237" s="179">
        <v>12793798418.384317</v>
      </c>
      <c r="AO237" s="179">
        <v>13830369852.313004</v>
      </c>
      <c r="AP237" s="179">
        <v>9018303128.0188961</v>
      </c>
      <c r="AQ237" s="179">
        <v>11681179570.900702</v>
      </c>
      <c r="AR237" s="179">
        <v>11250220602.973974</v>
      </c>
      <c r="AS237" s="179">
        <v>10682027634.746183</v>
      </c>
      <c r="AT237" s="179">
        <v>12257299147.293604</v>
      </c>
      <c r="AU237" s="179">
        <v>15716361539.064255</v>
      </c>
      <c r="AV237" s="179">
        <v>18137126092.281811</v>
      </c>
      <c r="AW237" s="179">
        <v>21355295732.053516</v>
      </c>
      <c r="AX237" s="179">
        <v>26646007250.731857</v>
      </c>
      <c r="AY237" s="179">
        <v>35182707173.815674</v>
      </c>
      <c r="AZ237" s="179">
        <v>45263824686.089775</v>
      </c>
      <c r="BA237" s="179">
        <v>59440139774.812767</v>
      </c>
      <c r="BB237" s="179">
        <v>64833088568.393997</v>
      </c>
      <c r="BC237" s="179">
        <v>58315346841.236366</v>
      </c>
      <c r="BD237" s="179">
        <v>74151157011.525055</v>
      </c>
      <c r="BE237" s="179">
        <v>78402841444.952423</v>
      </c>
      <c r="BF237" s="179">
        <v>63196236489.370445</v>
      </c>
      <c r="BG237" s="179">
        <v>66027147864.79155</v>
      </c>
      <c r="BH237" s="179">
        <v>76818773784.760498</v>
      </c>
      <c r="BI237" s="179">
        <v>84984672415.940125</v>
      </c>
      <c r="BJ237" s="179">
        <v>102943515502.99355</v>
      </c>
      <c r="BK237" s="179">
        <v>129718581297.43123</v>
      </c>
      <c r="BL237" s="179">
        <v>32333780383.292381</v>
      </c>
      <c r="BM237" s="179">
        <v>32338079165.289257</v>
      </c>
      <c r="BN237" s="179">
        <v>27034593750</v>
      </c>
      <c r="BO237" s="179">
        <v>34229513774.993607</v>
      </c>
      <c r="BP237" s="179">
        <v>51662241775.242538</v>
      </c>
    </row>
    <row r="238" spans="1:68">
      <c r="A238" s="179" t="s">
        <v>906</v>
      </c>
      <c r="B238" s="179">
        <f t="shared" si="3"/>
        <v>0</v>
      </c>
      <c r="C238" s="179" t="s">
        <v>907</v>
      </c>
      <c r="D238" s="179" t="s">
        <v>494</v>
      </c>
      <c r="E238" s="179" t="s">
        <v>495</v>
      </c>
      <c r="F238" s="179">
        <v>99650000</v>
      </c>
      <c r="G238" s="179">
        <v>107700000</v>
      </c>
      <c r="H238" s="179">
        <v>116150000</v>
      </c>
      <c r="I238" s="179">
        <v>125950000</v>
      </c>
      <c r="J238" s="179">
        <v>134400000</v>
      </c>
      <c r="K238" s="179">
        <v>154150000</v>
      </c>
      <c r="L238" s="179">
        <v>190350000</v>
      </c>
      <c r="M238" s="179">
        <v>220700000</v>
      </c>
      <c r="N238" s="179">
        <v>241350000</v>
      </c>
      <c r="O238" s="179">
        <v>259650000</v>
      </c>
      <c r="P238" s="179">
        <v>274900000</v>
      </c>
      <c r="Q238" s="179">
        <v>301000000</v>
      </c>
      <c r="R238" s="179">
        <v>311950000</v>
      </c>
      <c r="S238" s="179">
        <v>339449999.99999994</v>
      </c>
      <c r="T238" s="179">
        <v>409850000</v>
      </c>
      <c r="U238" s="179">
        <v>465500000.00000006</v>
      </c>
      <c r="V238" s="179">
        <v>505499999.99999994</v>
      </c>
      <c r="W238" s="179">
        <v>641500000</v>
      </c>
      <c r="X238" s="179">
        <v>735500000</v>
      </c>
      <c r="Y238" s="179">
        <v>782500000</v>
      </c>
      <c r="Z238" s="179">
        <v>795000000</v>
      </c>
      <c r="AA238" s="179">
        <v>889000000</v>
      </c>
      <c r="AB238" s="179">
        <v>915000000</v>
      </c>
      <c r="AC238" s="179">
        <v>883500000</v>
      </c>
      <c r="AD238" s="179">
        <v>864000000</v>
      </c>
      <c r="AE238" s="179">
        <v>873000000</v>
      </c>
      <c r="AF238" s="179">
        <v>891000000</v>
      </c>
      <c r="AG238" s="179">
        <v>980000000</v>
      </c>
      <c r="AH238" s="179">
        <v>1161000000</v>
      </c>
      <c r="AI238" s="179">
        <v>542600000</v>
      </c>
      <c r="AJ238" s="179">
        <v>388400000</v>
      </c>
      <c r="AK238" s="179">
        <v>448100000</v>
      </c>
      <c r="AL238" s="179">
        <v>404600000</v>
      </c>
      <c r="AM238" s="179">
        <v>428764705.88235289</v>
      </c>
      <c r="AN238" s="179">
        <v>605492537.31343281</v>
      </c>
      <c r="AO238" s="179">
        <v>691590497.73755658</v>
      </c>
      <c r="AP238" s="179">
        <v>861372046.45405817</v>
      </c>
      <c r="AQ238" s="179">
        <v>926422500</v>
      </c>
      <c r="AR238" s="179">
        <v>1110850000</v>
      </c>
      <c r="AS238" s="179">
        <v>886290697.67441857</v>
      </c>
      <c r="AT238" s="179">
        <v>947671969.69696963</v>
      </c>
      <c r="AU238" s="179">
        <v>834279357.79816508</v>
      </c>
      <c r="AV238" s="179">
        <v>1093574468.0851064</v>
      </c>
      <c r="AW238" s="179">
        <v>1274190311.4186852</v>
      </c>
      <c r="AX238" s="179">
        <v>1484092538.405267</v>
      </c>
      <c r="AY238" s="179">
        <v>1793410617.0093458</v>
      </c>
      <c r="AZ238" s="179">
        <v>2626380435.1787729</v>
      </c>
      <c r="BA238" s="179">
        <v>2936612021.8579235</v>
      </c>
      <c r="BB238" s="179">
        <v>3532969034.6083789</v>
      </c>
      <c r="BC238" s="179">
        <v>3875409836.0655737</v>
      </c>
      <c r="BD238" s="179">
        <v>4368371528.3047447</v>
      </c>
      <c r="BE238" s="179">
        <v>4422276621.7870264</v>
      </c>
      <c r="BF238" s="179">
        <v>4980000000</v>
      </c>
      <c r="BG238" s="179">
        <v>5145757575.757576</v>
      </c>
      <c r="BH238" s="179">
        <v>5240606060.606061</v>
      </c>
      <c r="BI238" s="179">
        <v>5126238146.3414583</v>
      </c>
      <c r="BJ238" s="179">
        <v>3317421499.7731414</v>
      </c>
      <c r="BK238" s="179">
        <v>3591679371.0399122</v>
      </c>
      <c r="BL238" s="179">
        <v>3996198760.3238931</v>
      </c>
      <c r="BM238" s="179">
        <v>4016040575.0879593</v>
      </c>
      <c r="BN238" s="179">
        <v>2911807496.2022653</v>
      </c>
      <c r="BO238" s="179">
        <v>2984706243.6548223</v>
      </c>
      <c r="BP238" s="179">
        <v>3620655116.2207355</v>
      </c>
    </row>
    <row r="239" spans="1:68">
      <c r="A239" s="179" t="s">
        <v>911</v>
      </c>
      <c r="B239" s="179">
        <f t="shared" si="3"/>
        <v>1</v>
      </c>
      <c r="C239" s="179" t="s">
        <v>912</v>
      </c>
      <c r="D239" s="179" t="s">
        <v>494</v>
      </c>
      <c r="E239" s="179" t="s">
        <v>495</v>
      </c>
      <c r="F239" s="179">
        <v>15822585461.245344</v>
      </c>
      <c r="G239" s="179">
        <v>17212687079.814629</v>
      </c>
      <c r="H239" s="179">
        <v>18667251884.632103</v>
      </c>
      <c r="I239" s="179">
        <v>20204871175.861954</v>
      </c>
      <c r="J239" s="179">
        <v>22532417359.04158</v>
      </c>
      <c r="K239" s="179">
        <v>24795500355.973015</v>
      </c>
      <c r="L239" s="179">
        <v>26971487275.297604</v>
      </c>
      <c r="M239" s="179">
        <v>29275996465.990189</v>
      </c>
      <c r="N239" s="179">
        <v>31066820768.99094</v>
      </c>
      <c r="O239" s="179">
        <v>33738103394.06361</v>
      </c>
      <c r="P239" s="179">
        <v>38092378395.81855</v>
      </c>
      <c r="Q239" s="179">
        <v>41566370370.151596</v>
      </c>
      <c r="R239" s="179">
        <v>48953974498.021759</v>
      </c>
      <c r="S239" s="179">
        <v>59404966684.221367</v>
      </c>
      <c r="T239" s="179">
        <v>66012967234.723633</v>
      </c>
      <c r="U239" s="179">
        <v>82885563989.190903</v>
      </c>
      <c r="V239" s="179">
        <v>89362242653.577301</v>
      </c>
      <c r="W239" s="179">
        <v>94467862578.884048</v>
      </c>
      <c r="X239" s="179">
        <v>104442929108.70213</v>
      </c>
      <c r="Y239" s="179">
        <v>123386889872.30339</v>
      </c>
      <c r="Z239" s="179">
        <v>142092908186.30548</v>
      </c>
      <c r="AA239" s="179">
        <v>129685871065.23766</v>
      </c>
      <c r="AB239" s="179">
        <v>114380406033.22359</v>
      </c>
      <c r="AC239" s="179">
        <v>105014242541.02943</v>
      </c>
      <c r="AD239" s="179">
        <v>109201362589.00124</v>
      </c>
      <c r="AE239" s="179">
        <v>114123205983.08803</v>
      </c>
      <c r="AF239" s="179">
        <v>150498409835.87387</v>
      </c>
      <c r="AG239" s="179">
        <v>183008435689.94266</v>
      </c>
      <c r="AH239" s="179">
        <v>206988363594.81976</v>
      </c>
      <c r="AI239" s="179">
        <v>217949132622.50681</v>
      </c>
      <c r="AJ239" s="179">
        <v>261846636897.06848</v>
      </c>
      <c r="AK239" s="179">
        <v>274230545848.39917</v>
      </c>
      <c r="AL239" s="179">
        <v>284319488252.29675</v>
      </c>
      <c r="AM239" s="179">
        <v>212952606992.29294</v>
      </c>
      <c r="AN239" s="179">
        <v>229034457106.49469</v>
      </c>
      <c r="AO239" s="179">
        <v>267307061910.14371</v>
      </c>
      <c r="AP239" s="179">
        <v>291745732990.83527</v>
      </c>
      <c r="AQ239" s="179">
        <v>268146349551.01419</v>
      </c>
      <c r="AR239" s="179">
        <v>270810151170.43124</v>
      </c>
      <c r="AS239" s="179">
        <v>274071242574.57007</v>
      </c>
      <c r="AT239" s="179">
        <v>262834187366.57761</v>
      </c>
      <c r="AU239" s="179">
        <v>242395011586.56219</v>
      </c>
      <c r="AV239" s="179">
        <v>266848422377.99881</v>
      </c>
      <c r="AW239" s="179">
        <v>334337040046.62189</v>
      </c>
      <c r="AX239" s="179">
        <v>385118743610.14307</v>
      </c>
      <c r="AY239" s="179">
        <v>392218701192.92511</v>
      </c>
      <c r="AZ239" s="179">
        <v>423090618042.96594</v>
      </c>
      <c r="BA239" s="179">
        <v>491254769728.81158</v>
      </c>
      <c r="BB239" s="179">
        <v>517706214656.40698</v>
      </c>
      <c r="BC239" s="179">
        <v>436535921119.11865</v>
      </c>
      <c r="BD239" s="179">
        <v>495812558843.31036</v>
      </c>
      <c r="BE239" s="179">
        <v>574094112972.73267</v>
      </c>
      <c r="BF239" s="179">
        <v>552483727282.80249</v>
      </c>
      <c r="BG239" s="179">
        <v>586841821796.89111</v>
      </c>
      <c r="BH239" s="179">
        <v>581964017237.0946</v>
      </c>
      <c r="BI239" s="179">
        <v>505103781349.7569</v>
      </c>
      <c r="BJ239" s="179">
        <v>515654671469.54694</v>
      </c>
      <c r="BK239" s="179">
        <v>541018749769.09711</v>
      </c>
      <c r="BL239" s="179">
        <v>555455371487.08936</v>
      </c>
      <c r="BM239" s="179">
        <v>533879529188.45374</v>
      </c>
      <c r="BN239" s="179">
        <v>547054174235.87585</v>
      </c>
      <c r="BO239" s="179">
        <v>636856236396.23926</v>
      </c>
      <c r="BP239" s="179">
        <v>585939170123.85596</v>
      </c>
    </row>
    <row r="240" spans="1:68">
      <c r="A240" s="179" t="s">
        <v>79</v>
      </c>
      <c r="B240" s="179">
        <f t="shared" si="3"/>
        <v>1</v>
      </c>
      <c r="C240" s="179" t="s">
        <v>565</v>
      </c>
      <c r="D240" s="179" t="s">
        <v>494</v>
      </c>
      <c r="E240" s="179" t="s">
        <v>495</v>
      </c>
      <c r="F240" s="179">
        <v>9522746879.7677193</v>
      </c>
      <c r="G240" s="179">
        <v>10712712645.666325</v>
      </c>
      <c r="H240" s="179">
        <v>11879982958.856014</v>
      </c>
      <c r="I240" s="179">
        <v>13063644016.038824</v>
      </c>
      <c r="J240" s="179">
        <v>14480556815.686848</v>
      </c>
      <c r="K240" s="179">
        <v>15346741928.500486</v>
      </c>
      <c r="L240" s="179">
        <v>16480058982.703571</v>
      </c>
      <c r="M240" s="179">
        <v>17740013478.353016</v>
      </c>
      <c r="N240" s="179">
        <v>18942730098.470623</v>
      </c>
      <c r="O240" s="179">
        <v>20524886962.524284</v>
      </c>
      <c r="Z240" s="179">
        <v>122557234458.21518</v>
      </c>
      <c r="AA240" s="179">
        <v>112242424557.83095</v>
      </c>
      <c r="AB240" s="179">
        <v>115044782162.74055</v>
      </c>
      <c r="AC240" s="179">
        <v>114632083163.39429</v>
      </c>
      <c r="AD240" s="179">
        <v>109456088574.23131</v>
      </c>
      <c r="AE240" s="179">
        <v>110979185023.14697</v>
      </c>
      <c r="AF240" s="179">
        <v>159088447135.69171</v>
      </c>
      <c r="AG240" s="179">
        <v>199237483444.44833</v>
      </c>
      <c r="AH240" s="179">
        <v>215540625298.98175</v>
      </c>
      <c r="AI240" s="179">
        <v>208102666687.04248</v>
      </c>
      <c r="AJ240" s="179">
        <v>265771545360.20078</v>
      </c>
      <c r="AK240" s="179">
        <v>268903256527.52451</v>
      </c>
      <c r="AL240" s="179">
        <v>279917776400.29889</v>
      </c>
      <c r="AM240" s="179">
        <v>272234456388.10187</v>
      </c>
      <c r="AN240" s="179">
        <v>301376707849.16931</v>
      </c>
      <c r="AO240" s="179">
        <v>352845006670.36322</v>
      </c>
      <c r="AP240" s="179">
        <v>340101207919.02979</v>
      </c>
      <c r="AQ240" s="179">
        <v>294785659876.83563</v>
      </c>
      <c r="AR240" s="179">
        <v>303456228792.49286</v>
      </c>
      <c r="AS240" s="179">
        <v>297882566712.48975</v>
      </c>
      <c r="AT240" s="179">
        <v>279209007352.66907</v>
      </c>
      <c r="AU240" s="179">
        <v>286580125206.28223</v>
      </c>
      <c r="AV240" s="179">
        <v>309299934075.76959</v>
      </c>
      <c r="AW240" s="179">
        <v>362088305988.74707</v>
      </c>
      <c r="AX240" s="179">
        <v>403914244451.96619</v>
      </c>
      <c r="AY240" s="179">
        <v>418292704114.27454</v>
      </c>
      <c r="AZ240" s="179">
        <v>441619409123.41632</v>
      </c>
      <c r="BA240" s="179">
        <v>490754683815.1438</v>
      </c>
      <c r="BB240" s="179">
        <v>567273005013.43372</v>
      </c>
      <c r="BC240" s="179">
        <v>554191679308.88416</v>
      </c>
      <c r="BD240" s="179">
        <v>598851028906.58032</v>
      </c>
      <c r="BE240" s="179">
        <v>715888126682.39587</v>
      </c>
      <c r="BF240" s="179">
        <v>686420221557.98987</v>
      </c>
      <c r="BG240" s="179">
        <v>706234937370.96753</v>
      </c>
      <c r="BH240" s="179">
        <v>726537808338.00049</v>
      </c>
      <c r="BI240" s="179">
        <v>694118186379.62781</v>
      </c>
      <c r="BJ240" s="179">
        <v>687895460902.71326</v>
      </c>
      <c r="BK240" s="179">
        <v>695200833086.4989</v>
      </c>
      <c r="BL240" s="179">
        <v>725562534363.89478</v>
      </c>
      <c r="BM240" s="179">
        <v>721369112726.72388</v>
      </c>
      <c r="BN240" s="179">
        <v>739913619797.44519</v>
      </c>
      <c r="BO240" s="179">
        <v>800640155387.26013</v>
      </c>
      <c r="BP240" s="179">
        <v>807706035351.75024</v>
      </c>
    </row>
    <row r="241" spans="1:68">
      <c r="A241" s="222" t="s">
        <v>1328</v>
      </c>
      <c r="B241" s="179">
        <f t="shared" si="3"/>
        <v>1</v>
      </c>
      <c r="C241" s="179" t="s">
        <v>919</v>
      </c>
      <c r="D241" s="179" t="s">
        <v>494</v>
      </c>
      <c r="E241" s="179" t="s">
        <v>495</v>
      </c>
      <c r="F241" s="179">
        <v>857704413.64740348</v>
      </c>
      <c r="G241" s="179">
        <v>945244972.331074</v>
      </c>
      <c r="H241" s="179">
        <v>1110565881.0597739</v>
      </c>
      <c r="I241" s="179">
        <v>1200447408.6912165</v>
      </c>
      <c r="J241" s="179">
        <v>1339494267.3663597</v>
      </c>
      <c r="K241" s="179">
        <v>1329842434.9031</v>
      </c>
      <c r="L241" s="179">
        <v>1321204502.963666</v>
      </c>
      <c r="M241" s="179">
        <v>1443717801.4250569</v>
      </c>
      <c r="N241" s="179">
        <v>1562303429.7283516</v>
      </c>
      <c r="O241" s="179">
        <v>1796596911.4650776</v>
      </c>
      <c r="P241" s="179">
        <v>1780104712.5078807</v>
      </c>
      <c r="Q241" s="179">
        <v>2097643979.6067131</v>
      </c>
      <c r="R241" s="179">
        <v>2415706806.9151063</v>
      </c>
      <c r="S241" s="179">
        <v>2579219250.6375465</v>
      </c>
      <c r="T241" s="179">
        <v>4244670165.2179008</v>
      </c>
      <c r="U241" s="179">
        <v>5566756758.2612858</v>
      </c>
      <c r="V241" s="179">
        <v>6417632810.1101255</v>
      </c>
      <c r="W241" s="179">
        <v>6882292995.3840237</v>
      </c>
      <c r="X241" s="179">
        <v>8251974524.3954067</v>
      </c>
      <c r="Y241" s="179">
        <v>9929681531.192276</v>
      </c>
      <c r="Z241" s="179">
        <v>13062420385.49361</v>
      </c>
      <c r="AA241" s="179">
        <v>16758471341.849291</v>
      </c>
      <c r="AB241" s="179">
        <v>17525605100.006523</v>
      </c>
      <c r="AC241" s="179">
        <v>18672866246.795635</v>
      </c>
      <c r="AD241" s="179">
        <v>19195414014.7766</v>
      </c>
      <c r="AE241" s="179">
        <v>21203821656.050957</v>
      </c>
      <c r="AF241" s="179">
        <v>25460636942.675159</v>
      </c>
      <c r="AG241" s="179">
        <v>32538089171.974525</v>
      </c>
      <c r="AH241" s="179">
        <v>16574342984.4098</v>
      </c>
      <c r="AI241" s="179">
        <v>18609532293.986637</v>
      </c>
      <c r="AJ241" s="179">
        <v>23904498886.414253</v>
      </c>
      <c r="AK241" s="179">
        <v>27756258351.893097</v>
      </c>
      <c r="AL241" s="179">
        <v>33107349665.924278</v>
      </c>
      <c r="AM241" s="179">
        <v>36860133630.289536</v>
      </c>
      <c r="AN241" s="179">
        <v>45086948775.055679</v>
      </c>
      <c r="AO241" s="179">
        <v>50866369710.467705</v>
      </c>
      <c r="AP241" s="179">
        <v>61546280623.608017</v>
      </c>
      <c r="AQ241" s="179">
        <v>66420400890.868599</v>
      </c>
      <c r="AR241" s="179">
        <v>70418173719.376389</v>
      </c>
      <c r="AS241" s="179">
        <v>72970334075.723831</v>
      </c>
      <c r="AT241" s="179">
        <v>80590022271.71492</v>
      </c>
      <c r="AU241" s="179">
        <v>86771314031.180405</v>
      </c>
      <c r="AV241" s="179">
        <v>90558485523.3853</v>
      </c>
      <c r="AW241" s="179">
        <v>95693808463.251678</v>
      </c>
      <c r="AX241" s="179">
        <v>112863340757.23831</v>
      </c>
      <c r="AY241" s="179">
        <v>134203830734.9666</v>
      </c>
      <c r="AZ241" s="179">
        <v>153799910913.14032</v>
      </c>
      <c r="BA241" s="179">
        <v>180030111358.57462</v>
      </c>
      <c r="BB241" s="179">
        <v>218089977728.2851</v>
      </c>
      <c r="BC241" s="179">
        <v>224561692650.33408</v>
      </c>
      <c r="BD241" s="179">
        <v>252518218262.80624</v>
      </c>
      <c r="BE241" s="179">
        <v>67539427670.995773</v>
      </c>
      <c r="BF241" s="179">
        <v>43190317724.708771</v>
      </c>
      <c r="BG241" s="179">
        <v>21361254647.99036</v>
      </c>
      <c r="BH241" s="179">
        <v>21502061462.212151</v>
      </c>
      <c r="BI241" s="179">
        <v>16468399180.382212</v>
      </c>
      <c r="BJ241" s="179">
        <v>12598742886.936825</v>
      </c>
      <c r="BK241" s="179">
        <v>16369724433.275146</v>
      </c>
      <c r="BL241" s="179">
        <v>21496337967.867672</v>
      </c>
      <c r="BM241" s="179">
        <v>22600896352.126598</v>
      </c>
      <c r="BN241" s="179">
        <v>11159274040.270842</v>
      </c>
    </row>
    <row r="242" spans="1:68">
      <c r="A242" s="179" t="s">
        <v>932</v>
      </c>
      <c r="B242" s="179">
        <f t="shared" si="3"/>
        <v>1</v>
      </c>
      <c r="C242" s="179" t="s">
        <v>933</v>
      </c>
      <c r="D242" s="179" t="s">
        <v>494</v>
      </c>
      <c r="E242" s="179" t="s">
        <v>495</v>
      </c>
      <c r="AJ242" s="179">
        <v>2629395066.2701721</v>
      </c>
      <c r="AK242" s="179">
        <v>2534720480.324399</v>
      </c>
      <c r="AL242" s="179">
        <v>1909246640.8083768</v>
      </c>
      <c r="AM242" s="179">
        <v>1646693642.1108849</v>
      </c>
      <c r="AN242" s="179">
        <v>1522018435.6953597</v>
      </c>
      <c r="AO242" s="179">
        <v>1231567145.3550835</v>
      </c>
      <c r="AP242" s="179">
        <v>1043654822.3350254</v>
      </c>
      <c r="AQ242" s="179">
        <v>921517486.66271555</v>
      </c>
      <c r="AR242" s="179">
        <v>1320199581.5226138</v>
      </c>
      <c r="AS242" s="179">
        <v>1086612582.8929179</v>
      </c>
      <c r="AT242" s="179">
        <v>860541842.26369655</v>
      </c>
      <c r="AU242" s="179">
        <v>1080772703.1612804</v>
      </c>
      <c r="AV242" s="179">
        <v>1221106073.0307283</v>
      </c>
      <c r="AW242" s="179">
        <v>1555318430.7662139</v>
      </c>
      <c r="AX242" s="179">
        <v>2076176636.4342828</v>
      </c>
      <c r="AY242" s="179">
        <v>2312352267.9872055</v>
      </c>
      <c r="AZ242" s="179">
        <v>2830213562.6021671</v>
      </c>
      <c r="BA242" s="179">
        <v>3719524180.7028875</v>
      </c>
      <c r="BB242" s="179">
        <v>5161299725.2767277</v>
      </c>
      <c r="BC242" s="179">
        <v>4979471963.7918072</v>
      </c>
      <c r="BD242" s="179">
        <v>5642221528.6711435</v>
      </c>
      <c r="BE242" s="179">
        <v>6522755783.3925667</v>
      </c>
      <c r="BF242" s="179">
        <v>7633036366.0349197</v>
      </c>
      <c r="BG242" s="179">
        <v>8448410727.1544275</v>
      </c>
      <c r="BH242" s="179">
        <v>9112606074.5171318</v>
      </c>
      <c r="BI242" s="179">
        <v>8271431932.4367771</v>
      </c>
      <c r="BJ242" s="179">
        <v>6992416096.8901844</v>
      </c>
      <c r="BK242" s="179">
        <v>7536403146.6837664</v>
      </c>
      <c r="BL242" s="179">
        <v>7765000282.293973</v>
      </c>
      <c r="BM242" s="179">
        <v>8300813889.6369829</v>
      </c>
      <c r="BN242" s="179">
        <v>8133963813.3328981</v>
      </c>
      <c r="BO242" s="179">
        <v>8937805347.1396294</v>
      </c>
      <c r="BP242" s="179">
        <v>10492123387.793121</v>
      </c>
    </row>
    <row r="243" spans="1:68">
      <c r="A243" s="179" t="s">
        <v>955</v>
      </c>
      <c r="B243" s="179">
        <f t="shared" si="3"/>
        <v>1</v>
      </c>
      <c r="C243" s="179" t="s">
        <v>956</v>
      </c>
      <c r="D243" s="179" t="s">
        <v>494</v>
      </c>
      <c r="E243" s="179" t="s">
        <v>495</v>
      </c>
      <c r="AH243" s="179">
        <v>5100405344.3992252</v>
      </c>
      <c r="AI243" s="179">
        <v>4420167588.5762539</v>
      </c>
      <c r="AJ243" s="179">
        <v>4258742898.9379468</v>
      </c>
      <c r="AK243" s="179">
        <v>4956587901.6186543</v>
      </c>
      <c r="AL243" s="179">
        <v>4601413521.1310244</v>
      </c>
      <c r="AM243" s="179">
        <v>4257702021.4430189</v>
      </c>
      <c r="AN243" s="179">
        <v>4510847189.1543074</v>
      </c>
      <c r="AO243" s="179">
        <v>5255221043.8386106</v>
      </c>
      <c r="AP243" s="179">
        <v>6496195823.9699259</v>
      </c>
      <c r="AQ243" s="179">
        <v>7683852496.8449945</v>
      </c>
      <c r="AR243" s="179">
        <v>12270448546.35836</v>
      </c>
      <c r="AS243" s="179">
        <v>12711213451.034033</v>
      </c>
      <c r="AT243" s="179">
        <v>13375976353.699392</v>
      </c>
      <c r="AU243" s="179">
        <v>13581644245.735195</v>
      </c>
      <c r="AV243" s="179">
        <v>14142035080.284897</v>
      </c>
      <c r="AW243" s="179">
        <v>15224257698.482018</v>
      </c>
      <c r="AX243" s="179">
        <v>16675948414.757336</v>
      </c>
      <c r="AY243" s="179">
        <v>18399046025.268791</v>
      </c>
      <c r="AZ243" s="179">
        <v>18649590248.262638</v>
      </c>
      <c r="BA243" s="179">
        <v>21843529024.915356</v>
      </c>
      <c r="BB243" s="179">
        <v>27961527622.715405</v>
      </c>
      <c r="BC243" s="179">
        <v>29081826158.678692</v>
      </c>
      <c r="BD243" s="179">
        <v>32014247547.514553</v>
      </c>
      <c r="BE243" s="179">
        <v>34657141720.675934</v>
      </c>
      <c r="BF243" s="179">
        <v>39650522645.981102</v>
      </c>
      <c r="BG243" s="179">
        <v>45680532613.759094</v>
      </c>
      <c r="BH243" s="179">
        <v>49964825081.107849</v>
      </c>
      <c r="BI243" s="179">
        <v>47378603783.647087</v>
      </c>
      <c r="BJ243" s="179">
        <v>49774004999.203758</v>
      </c>
      <c r="BK243" s="179">
        <v>53275968094.853302</v>
      </c>
      <c r="BL243" s="179">
        <v>57003686049.410156</v>
      </c>
      <c r="BM243" s="179">
        <v>61026765850.305389</v>
      </c>
      <c r="BN243" s="179">
        <v>66068737757.265091</v>
      </c>
      <c r="BO243" s="179">
        <v>70655628140.582611</v>
      </c>
      <c r="BP243" s="179">
        <v>75709289056.445663</v>
      </c>
    </row>
    <row r="244" spans="1:68">
      <c r="A244" s="179" t="s">
        <v>930</v>
      </c>
      <c r="B244" s="179">
        <f t="shared" si="3"/>
        <v>0</v>
      </c>
      <c r="C244" s="179" t="s">
        <v>931</v>
      </c>
      <c r="D244" s="179" t="s">
        <v>494</v>
      </c>
      <c r="E244" s="179" t="s">
        <v>495</v>
      </c>
      <c r="F244" s="179">
        <v>2760750921.4010119</v>
      </c>
      <c r="G244" s="179">
        <v>3034037871.7559619</v>
      </c>
      <c r="H244" s="179">
        <v>3308912796.934866</v>
      </c>
      <c r="I244" s="179">
        <v>3540403456.5530486</v>
      </c>
      <c r="J244" s="179">
        <v>3889129938.6055398</v>
      </c>
      <c r="K244" s="179">
        <v>4388937644.8605309</v>
      </c>
      <c r="L244" s="179">
        <v>5279230812.2822714</v>
      </c>
      <c r="M244" s="179">
        <v>5638461436.9403114</v>
      </c>
      <c r="N244" s="179">
        <v>6081009422.0959625</v>
      </c>
      <c r="O244" s="179">
        <v>6695336560.934247</v>
      </c>
      <c r="P244" s="179">
        <v>7086538430.7541609</v>
      </c>
      <c r="Q244" s="179">
        <v>7375000017.6325998</v>
      </c>
      <c r="R244" s="179">
        <v>8177872957.5896187</v>
      </c>
      <c r="S244" s="179">
        <v>10838587357.74659</v>
      </c>
      <c r="T244" s="179">
        <v>13702998648.216045</v>
      </c>
      <c r="U244" s="179">
        <v>14882770239.314917</v>
      </c>
      <c r="V244" s="179">
        <v>16985208712.105438</v>
      </c>
      <c r="W244" s="179">
        <v>19779312335.720478</v>
      </c>
      <c r="X244" s="179">
        <v>24006567108.45631</v>
      </c>
      <c r="Y244" s="179">
        <v>27371650353.058865</v>
      </c>
      <c r="Z244" s="179">
        <v>32353514501.999992</v>
      </c>
      <c r="AA244" s="179">
        <v>34846038517.928726</v>
      </c>
      <c r="AB244" s="179">
        <v>36589772336.849007</v>
      </c>
      <c r="AC244" s="179">
        <v>40042798315.273361</v>
      </c>
      <c r="AD244" s="179">
        <v>41797647303.348335</v>
      </c>
      <c r="AE244" s="179">
        <v>38900711298.193413</v>
      </c>
      <c r="AF244" s="179">
        <v>43096774496.624962</v>
      </c>
      <c r="AG244" s="179">
        <v>50535445679.810646</v>
      </c>
      <c r="AH244" s="179">
        <v>61667254410.672997</v>
      </c>
      <c r="AI244" s="179">
        <v>72250747142.17337</v>
      </c>
      <c r="AJ244" s="179">
        <v>85343189320.751877</v>
      </c>
      <c r="AK244" s="179">
        <v>98234713407.73233</v>
      </c>
      <c r="AL244" s="179">
        <v>111452745855.98874</v>
      </c>
      <c r="AM244" s="179">
        <v>128889262554.62677</v>
      </c>
      <c r="AN244" s="179">
        <v>146683779608.91721</v>
      </c>
      <c r="AO244" s="179">
        <v>169278918603.43552</v>
      </c>
      <c r="AP244" s="179">
        <v>183035238433.43774</v>
      </c>
      <c r="AQ244" s="179">
        <v>150180454390.44586</v>
      </c>
      <c r="AR244" s="179">
        <v>113675595413.49591</v>
      </c>
      <c r="AS244" s="179">
        <v>126669212337.24503</v>
      </c>
      <c r="AT244" s="179">
        <v>126392223203.46117</v>
      </c>
      <c r="AU244" s="179">
        <v>120296476180.40192</v>
      </c>
      <c r="AV244" s="179">
        <v>134300903357.96223</v>
      </c>
      <c r="AW244" s="179">
        <v>152280616469.4783</v>
      </c>
      <c r="AX244" s="179">
        <v>172895685509.27463</v>
      </c>
      <c r="AY244" s="179">
        <v>189318407487.95868</v>
      </c>
      <c r="AZ244" s="179">
        <v>221758294724.76367</v>
      </c>
      <c r="BA244" s="179">
        <v>262942624565.27277</v>
      </c>
      <c r="BB244" s="179">
        <v>291382985568.98834</v>
      </c>
      <c r="BC244" s="179">
        <v>281710629173.19934</v>
      </c>
      <c r="BD244" s="179">
        <v>341104766329.16962</v>
      </c>
      <c r="BE244" s="179">
        <v>370818735569.85974</v>
      </c>
      <c r="BF244" s="179">
        <v>397558329541.97186</v>
      </c>
      <c r="BG244" s="179">
        <v>420333659152.573</v>
      </c>
      <c r="BH244" s="179">
        <v>407339036017.22131</v>
      </c>
      <c r="BI244" s="179">
        <v>401296242133.90344</v>
      </c>
      <c r="BJ244" s="179">
        <v>413366345843.74353</v>
      </c>
      <c r="BK244" s="179">
        <v>456356812774.56287</v>
      </c>
      <c r="BL244" s="179">
        <v>506754212432.99097</v>
      </c>
      <c r="BM244" s="179">
        <v>543976695638.81158</v>
      </c>
      <c r="BN244" s="179">
        <v>500457261548.07605</v>
      </c>
      <c r="BO244" s="179">
        <v>505568057004.25427</v>
      </c>
      <c r="BP244" s="179">
        <v>495340592811.18781</v>
      </c>
    </row>
    <row r="245" spans="1:68">
      <c r="A245" s="179" t="s">
        <v>938</v>
      </c>
      <c r="B245" s="179">
        <f t="shared" si="3"/>
        <v>0</v>
      </c>
      <c r="C245" s="179" t="s">
        <v>939</v>
      </c>
      <c r="D245" s="179" t="s">
        <v>494</v>
      </c>
      <c r="E245" s="179" t="s">
        <v>495</v>
      </c>
      <c r="AT245" s="179">
        <v>367087900</v>
      </c>
      <c r="AU245" s="179">
        <v>477443500</v>
      </c>
      <c r="AV245" s="179">
        <v>469506700</v>
      </c>
      <c r="AW245" s="179">
        <v>490439100</v>
      </c>
      <c r="AX245" s="179">
        <v>440764600</v>
      </c>
      <c r="AY245" s="179">
        <v>462283600</v>
      </c>
      <c r="AZ245" s="179">
        <v>453805100</v>
      </c>
      <c r="BA245" s="179">
        <v>542795400</v>
      </c>
      <c r="BB245" s="179">
        <v>648492700</v>
      </c>
      <c r="BC245" s="179">
        <v>726882400</v>
      </c>
      <c r="BD245" s="179">
        <v>881827800</v>
      </c>
      <c r="BE245" s="179">
        <v>1042411499.9999999</v>
      </c>
      <c r="BF245" s="179">
        <v>1160389600</v>
      </c>
      <c r="BG245" s="179">
        <v>1395519600</v>
      </c>
      <c r="BH245" s="179">
        <v>1447310400</v>
      </c>
      <c r="BI245" s="179">
        <v>1594447600</v>
      </c>
      <c r="BJ245" s="179">
        <v>1650619400</v>
      </c>
      <c r="BK245" s="179">
        <v>1595724300</v>
      </c>
      <c r="BL245" s="179">
        <v>1563887900</v>
      </c>
      <c r="BM245" s="179">
        <v>2028551600</v>
      </c>
      <c r="BN245" s="179">
        <v>2158392500</v>
      </c>
      <c r="BO245" s="179">
        <v>3621222400</v>
      </c>
      <c r="BP245" s="179">
        <v>3163324631.03158</v>
      </c>
    </row>
    <row r="246" spans="1:68">
      <c r="A246" s="179" t="s">
        <v>928</v>
      </c>
      <c r="B246" s="179">
        <f t="shared" si="3"/>
        <v>1</v>
      </c>
      <c r="C246" s="179" t="s">
        <v>929</v>
      </c>
      <c r="D246" s="179" t="s">
        <v>494</v>
      </c>
      <c r="E246" s="179" t="s">
        <v>495</v>
      </c>
      <c r="F246" s="179">
        <v>164603553.98228079</v>
      </c>
      <c r="G246" s="179">
        <v>171762891.7133185</v>
      </c>
      <c r="H246" s="179">
        <v>179700351.92884567</v>
      </c>
      <c r="I246" s="179">
        <v>194673419.07015923</v>
      </c>
      <c r="J246" s="179">
        <v>225722420.01692861</v>
      </c>
      <c r="K246" s="179">
        <v>254526437.24517319</v>
      </c>
      <c r="L246" s="179">
        <v>293712193.86878037</v>
      </c>
      <c r="M246" s="179">
        <v>314870885.99678886</v>
      </c>
      <c r="N246" s="179">
        <v>328800480.45420295</v>
      </c>
      <c r="O246" s="179">
        <v>363827440.30114925</v>
      </c>
      <c r="P246" s="179">
        <v>345134276.95892173</v>
      </c>
      <c r="Q246" s="179">
        <v>389382093.171242</v>
      </c>
      <c r="R246" s="179">
        <v>456159541.70559341</v>
      </c>
      <c r="S246" s="179">
        <v>552374366.44459665</v>
      </c>
      <c r="T246" s="179">
        <v>761591056.26165402</v>
      </c>
      <c r="U246" s="179">
        <v>838891749.34766948</v>
      </c>
      <c r="V246" s="179">
        <v>841682268.53456998</v>
      </c>
      <c r="W246" s="179">
        <v>1056473299.6875474</v>
      </c>
      <c r="X246" s="179">
        <v>1120110135.7572474</v>
      </c>
      <c r="Y246" s="179">
        <v>1211853289.7222042</v>
      </c>
      <c r="Z246" s="179">
        <v>1544290809.9266629</v>
      </c>
      <c r="AA246" s="179">
        <v>1307754354.7026255</v>
      </c>
      <c r="AB246" s="179">
        <v>1116560700.7588985</v>
      </c>
      <c r="AC246" s="179">
        <v>1040589483.7419527</v>
      </c>
      <c r="AD246" s="179">
        <v>975908209.64252031</v>
      </c>
      <c r="AE246" s="179">
        <v>1035987180.1348811</v>
      </c>
      <c r="AF246" s="179">
        <v>1441695857.9415834</v>
      </c>
      <c r="AG246" s="179">
        <v>1697428000.6852541</v>
      </c>
      <c r="AH246" s="179">
        <v>1873745515.3574367</v>
      </c>
      <c r="AI246" s="179">
        <v>1838552523.377408</v>
      </c>
      <c r="AJ246" s="179">
        <v>2212905422.6408596</v>
      </c>
      <c r="AK246" s="179">
        <v>2177399825.4550915</v>
      </c>
      <c r="AL246" s="179">
        <v>2300598696.1939092</v>
      </c>
      <c r="AM246" s="179">
        <v>1676225629.2412741</v>
      </c>
      <c r="AN246" s="179">
        <v>1335309429.6589866</v>
      </c>
      <c r="AO246" s="179">
        <v>1779348593.1489322</v>
      </c>
      <c r="AP246" s="179">
        <v>1991429217.6411002</v>
      </c>
      <c r="AQ246" s="179">
        <v>2036956850.5988824</v>
      </c>
      <c r="AR246" s="179">
        <v>2157078792.4712982</v>
      </c>
      <c r="AS246" s="179">
        <v>2142574540.9752378</v>
      </c>
      <c r="AT246" s="179">
        <v>2027363116.9541309</v>
      </c>
      <c r="AU246" s="179">
        <v>2014516700.5267537</v>
      </c>
      <c r="AV246" s="179">
        <v>2319268823.4097114</v>
      </c>
      <c r="AW246" s="179">
        <v>2875255592.536664</v>
      </c>
      <c r="AX246" s="179">
        <v>3071152629.2958999</v>
      </c>
      <c r="AY246" s="179">
        <v>3100356551.9287639</v>
      </c>
      <c r="AZ246" s="179">
        <v>3195618966.3073616</v>
      </c>
      <c r="BA246" s="179">
        <v>3618281293.0792823</v>
      </c>
      <c r="BB246" s="179">
        <v>4516616223.9103079</v>
      </c>
      <c r="BC246" s="179">
        <v>4592147227.9068003</v>
      </c>
      <c r="BD246" s="179">
        <v>4660369658.3712292</v>
      </c>
      <c r="BE246" s="179">
        <v>5262368232.3034658</v>
      </c>
      <c r="BF246" s="179">
        <v>5263522037.2272415</v>
      </c>
      <c r="BG246" s="179">
        <v>5872790935.4872904</v>
      </c>
      <c r="BH246" s="179">
        <v>6217047648.6398516</v>
      </c>
      <c r="BI246" s="179">
        <v>5681469374.1036243</v>
      </c>
      <c r="BJ246" s="179">
        <v>6031632014.8601265</v>
      </c>
      <c r="BK246" s="179">
        <v>6395472028.2436094</v>
      </c>
      <c r="BL246" s="179">
        <v>7029217931.7502871</v>
      </c>
      <c r="BM246" s="179">
        <v>6992656428.9358082</v>
      </c>
      <c r="BN246" s="179">
        <v>7389329392.7703962</v>
      </c>
      <c r="BO246" s="179">
        <v>8334047485.5139618</v>
      </c>
      <c r="BP246" s="179">
        <v>8126439480.6130228</v>
      </c>
    </row>
    <row r="247" spans="1:68">
      <c r="A247" s="179" t="s">
        <v>942</v>
      </c>
      <c r="B247" s="179">
        <f t="shared" si="3"/>
        <v>0</v>
      </c>
      <c r="C247" s="179" t="s">
        <v>943</v>
      </c>
      <c r="D247" s="179" t="s">
        <v>494</v>
      </c>
      <c r="E247" s="179" t="s">
        <v>495</v>
      </c>
      <c r="U247" s="179">
        <v>32506741.720120434</v>
      </c>
      <c r="V247" s="179">
        <v>30036416.961994376</v>
      </c>
      <c r="W247" s="179">
        <v>34139387.890884899</v>
      </c>
      <c r="X247" s="179">
        <v>41567471.67219869</v>
      </c>
      <c r="Y247" s="179">
        <v>44667002.012072437</v>
      </c>
      <c r="Z247" s="179">
        <v>53260077.431109086</v>
      </c>
      <c r="AA247" s="179">
        <v>62242013.330268905</v>
      </c>
      <c r="AB247" s="179">
        <v>62068161.071102545</v>
      </c>
      <c r="AC247" s="179">
        <v>60863963.963963956</v>
      </c>
      <c r="AD247" s="179">
        <v>64248354.541465558</v>
      </c>
      <c r="AE247" s="179">
        <v>60058663.314477272</v>
      </c>
      <c r="AF247" s="179">
        <v>68195855.614973262</v>
      </c>
      <c r="AG247" s="179">
        <v>81667133.45469822</v>
      </c>
      <c r="AH247" s="179">
        <v>106657267.36734171</v>
      </c>
      <c r="AI247" s="179">
        <v>106344854.98609458</v>
      </c>
      <c r="AJ247" s="179">
        <v>113563821.57740392</v>
      </c>
      <c r="AK247" s="179">
        <v>132201141.44686103</v>
      </c>
      <c r="AL247" s="179">
        <v>137066290.55007052</v>
      </c>
      <c r="AM247" s="179">
        <v>138489884.3930636</v>
      </c>
      <c r="AN247" s="179">
        <v>195990986.21420997</v>
      </c>
      <c r="AO247" s="179">
        <v>208871665.74868202</v>
      </c>
      <c r="AP247" s="179">
        <v>222100576.34548259</v>
      </c>
      <c r="AQ247" s="179">
        <v>214991452.314998</v>
      </c>
      <c r="AR247" s="179">
        <v>191504892.76139411</v>
      </c>
      <c r="AS247" s="179">
        <v>199208752.45367482</v>
      </c>
      <c r="AT247" s="179">
        <v>204848436.57702062</v>
      </c>
      <c r="AU247" s="179">
        <v>181117272.4031378</v>
      </c>
      <c r="AV247" s="179">
        <v>182764299.85451323</v>
      </c>
      <c r="AW247" s="179">
        <v>202246621.15156144</v>
      </c>
      <c r="AX247" s="179">
        <v>230657579.05893695</v>
      </c>
      <c r="AY247" s="179">
        <v>261803692.13041973</v>
      </c>
      <c r="AZ247" s="179">
        <v>292230634.19757283</v>
      </c>
      <c r="BA247" s="179">
        <v>298519087.68586427</v>
      </c>
      <c r="BB247" s="179">
        <v>344436494.40469986</v>
      </c>
      <c r="BC247" s="179">
        <v>312377751.08712131</v>
      </c>
      <c r="BD247" s="179">
        <v>366832186.49347609</v>
      </c>
      <c r="BE247" s="179">
        <v>414533045.12695616</v>
      </c>
      <c r="BF247" s="179">
        <v>470705334.75604302</v>
      </c>
      <c r="BG247" s="179">
        <v>450650718.15437937</v>
      </c>
      <c r="BH247" s="179">
        <v>439877675.69334477</v>
      </c>
      <c r="BI247" s="179">
        <v>437003006.74478376</v>
      </c>
      <c r="BJ247" s="179">
        <v>420548768.07280481</v>
      </c>
      <c r="BK247" s="179">
        <v>460374252.20613706</v>
      </c>
      <c r="BL247" s="179">
        <v>488906860.87405837</v>
      </c>
      <c r="BM247" s="179">
        <v>512053639.84263098</v>
      </c>
      <c r="BN247" s="179">
        <v>484796858.83900863</v>
      </c>
      <c r="BO247" s="179">
        <v>469228124.15391362</v>
      </c>
    </row>
    <row r="248" spans="1:68">
      <c r="A248" s="179" t="s">
        <v>948</v>
      </c>
      <c r="B248" s="179">
        <f t="shared" si="3"/>
        <v>0</v>
      </c>
      <c r="C248" s="179" t="s">
        <v>949</v>
      </c>
      <c r="D248" s="179" t="s">
        <v>494</v>
      </c>
      <c r="E248" s="179" t="s">
        <v>495</v>
      </c>
      <c r="F248" s="179">
        <v>535673252.26033747</v>
      </c>
      <c r="G248" s="179">
        <v>584964620.67804492</v>
      </c>
      <c r="H248" s="179">
        <v>619322809.76825619</v>
      </c>
      <c r="I248" s="179">
        <v>678239329.11907578</v>
      </c>
      <c r="J248" s="179">
        <v>711897519.95957434</v>
      </c>
      <c r="K248" s="179">
        <v>736573158.26019704</v>
      </c>
      <c r="L248" s="179">
        <v>723739857.01546407</v>
      </c>
      <c r="M248" s="179">
        <v>761981839.09516215</v>
      </c>
      <c r="N248" s="179">
        <v>758899949.62055004</v>
      </c>
      <c r="O248" s="179">
        <v>779199999.61039996</v>
      </c>
      <c r="P248" s="179">
        <v>821849999.58907497</v>
      </c>
      <c r="Q248" s="179">
        <v>896765145.61911929</v>
      </c>
      <c r="R248" s="179">
        <v>1083391921.2216249</v>
      </c>
      <c r="S248" s="179">
        <v>1308785739.5343745</v>
      </c>
      <c r="T248" s="179">
        <v>2042001159.2311893</v>
      </c>
      <c r="U248" s="179">
        <v>2442670280.2716794</v>
      </c>
      <c r="V248" s="179">
        <v>2500424512.0740237</v>
      </c>
      <c r="W248" s="179">
        <v>3138666667.9744449</v>
      </c>
      <c r="X248" s="179">
        <v>3562333459.8176394</v>
      </c>
      <c r="Y248" s="179">
        <v>4602416626.9176741</v>
      </c>
      <c r="Z248" s="179">
        <v>6235833335.9315977</v>
      </c>
      <c r="AA248" s="179">
        <v>6992083336.2467022</v>
      </c>
      <c r="AB248" s="179">
        <v>8140416670.0585079</v>
      </c>
      <c r="AC248" s="179">
        <v>7763750003.2348967</v>
      </c>
      <c r="AD248" s="179">
        <v>7757083334.6800594</v>
      </c>
      <c r="AE248" s="179">
        <v>7375918367.3469381</v>
      </c>
      <c r="AF248" s="179">
        <v>4794444444.4444447</v>
      </c>
      <c r="AG248" s="179">
        <v>4797777777.7777777</v>
      </c>
      <c r="AH248" s="179">
        <v>4496910569.105691</v>
      </c>
      <c r="AI248" s="179">
        <v>4323058823.5294113</v>
      </c>
      <c r="AJ248" s="179">
        <v>5068000000</v>
      </c>
      <c r="AK248" s="179">
        <v>5307905882.3529415</v>
      </c>
      <c r="AL248" s="179">
        <v>5439552941.1764708</v>
      </c>
      <c r="AM248" s="179">
        <v>4669491425.1221991</v>
      </c>
      <c r="AN248" s="179">
        <v>4947181506.3893137</v>
      </c>
      <c r="AO248" s="179">
        <v>5329217896.5457125</v>
      </c>
      <c r="AP248" s="179">
        <v>5759570495.9659786</v>
      </c>
      <c r="AQ248" s="179">
        <v>5737771217.1691523</v>
      </c>
      <c r="AR248" s="179">
        <v>6043687133.4084597</v>
      </c>
      <c r="AS248" s="179">
        <v>6808982520.7575932</v>
      </c>
      <c r="AT248" s="179">
        <v>8154342547.5636997</v>
      </c>
      <c r="AU248" s="179">
        <v>8824849662.9616013</v>
      </c>
      <c r="AV248" s="179">
        <v>9008297748.0589294</v>
      </c>
      <c r="AW248" s="179">
        <v>11305459802.068275</v>
      </c>
      <c r="AX248" s="179">
        <v>13280292692.3489</v>
      </c>
      <c r="AY248" s="179">
        <v>15982388172.71582</v>
      </c>
      <c r="AZ248" s="179">
        <v>18369361094.388645</v>
      </c>
      <c r="BA248" s="179">
        <v>21641620049.935211</v>
      </c>
      <c r="BB248" s="179">
        <v>27871587349.541267</v>
      </c>
      <c r="BC248" s="179">
        <v>19172165225.501511</v>
      </c>
      <c r="BD248" s="179">
        <v>22157919433.875221</v>
      </c>
      <c r="BE248" s="179">
        <v>25433008605.040718</v>
      </c>
      <c r="BF248" s="179">
        <v>27121712418.53492</v>
      </c>
      <c r="BG248" s="179">
        <v>28557451149.868626</v>
      </c>
      <c r="BH248" s="179">
        <v>29489012806.89048</v>
      </c>
      <c r="BI248" s="179">
        <v>26851970249.303196</v>
      </c>
      <c r="BJ248" s="179">
        <v>23496215880.52121</v>
      </c>
      <c r="BK248" s="179">
        <v>23797686961.844673</v>
      </c>
      <c r="BL248" s="179">
        <v>24322359037.408974</v>
      </c>
      <c r="BM248" s="179">
        <v>23849557811.395931</v>
      </c>
      <c r="BN248" s="179">
        <v>21059428846.015331</v>
      </c>
      <c r="BO248" s="179">
        <v>24460196270.115669</v>
      </c>
      <c r="BP248" s="179">
        <v>27899082337.368843</v>
      </c>
    </row>
    <row r="249" spans="1:68">
      <c r="A249" s="179" t="s">
        <v>950</v>
      </c>
      <c r="B249" s="179">
        <f t="shared" si="3"/>
        <v>1</v>
      </c>
      <c r="C249" s="179" t="s">
        <v>951</v>
      </c>
      <c r="D249" s="179" t="s">
        <v>494</v>
      </c>
      <c r="E249" s="179" t="s">
        <v>495</v>
      </c>
      <c r="K249" s="179">
        <v>991047619.9442811</v>
      </c>
      <c r="L249" s="179">
        <v>1040952381.8941951</v>
      </c>
      <c r="M249" s="179">
        <v>1085714286.6965988</v>
      </c>
      <c r="N249" s="179">
        <v>1214666667.7656507</v>
      </c>
      <c r="O249" s="179">
        <v>1289904763.0718186</v>
      </c>
      <c r="P249" s="179">
        <v>1439238096.5402632</v>
      </c>
      <c r="Q249" s="179">
        <v>1685163348.0167296</v>
      </c>
      <c r="R249" s="179">
        <v>2237554586.7161956</v>
      </c>
      <c r="S249" s="179">
        <v>2730814468.1191301</v>
      </c>
      <c r="T249" s="179">
        <v>3545865875.5179176</v>
      </c>
      <c r="U249" s="179">
        <v>4328969185.4382687</v>
      </c>
      <c r="V249" s="179">
        <v>4508191952.6749277</v>
      </c>
      <c r="W249" s="179">
        <v>5109324009.3240089</v>
      </c>
      <c r="X249" s="179">
        <v>5968462484.6810846</v>
      </c>
      <c r="Y249" s="179">
        <v>7188855078.1163216</v>
      </c>
      <c r="Z249" s="179">
        <v>8744134354.1615219</v>
      </c>
      <c r="AA249" s="179">
        <v>8428442466.4199324</v>
      </c>
      <c r="AB249" s="179">
        <v>8133573180.6303225</v>
      </c>
      <c r="AC249" s="179">
        <v>8350586859.9735374</v>
      </c>
      <c r="AD249" s="179">
        <v>8254537657.2916384</v>
      </c>
      <c r="AE249" s="179">
        <v>8410227733.1532745</v>
      </c>
      <c r="AF249" s="179">
        <v>9017804761.5799122</v>
      </c>
      <c r="AG249" s="179">
        <v>9696710059.8856602</v>
      </c>
      <c r="AH249" s="179">
        <v>10096243800.789803</v>
      </c>
      <c r="AI249" s="179">
        <v>10101853518.085302</v>
      </c>
      <c r="AJ249" s="179">
        <v>12290568181.818182</v>
      </c>
      <c r="AK249" s="179">
        <v>13074782608.695652</v>
      </c>
      <c r="AL249" s="179">
        <v>15496702219.87714</v>
      </c>
      <c r="AM249" s="179">
        <v>14608340459.447517</v>
      </c>
      <c r="AN249" s="179">
        <v>15633171728.322289</v>
      </c>
      <c r="AO249" s="179">
        <v>18030876599.344402</v>
      </c>
      <c r="AP249" s="179">
        <v>19587155099.350227</v>
      </c>
      <c r="AQ249" s="179">
        <v>20746204100.701599</v>
      </c>
      <c r="AR249" s="179">
        <v>21802893587.125954</v>
      </c>
      <c r="AS249" s="179">
        <v>22943202174.966805</v>
      </c>
      <c r="AT249" s="179">
        <v>21473522938.680275</v>
      </c>
      <c r="AU249" s="179">
        <v>22065840117.466137</v>
      </c>
      <c r="AV249" s="179">
        <v>23141611178.842781</v>
      </c>
      <c r="AW249" s="179">
        <v>27453895158.943253</v>
      </c>
      <c r="AX249" s="179">
        <v>31183893587.410255</v>
      </c>
      <c r="AY249" s="179">
        <v>32272178403.514713</v>
      </c>
      <c r="AZ249" s="179">
        <v>34376664600.589775</v>
      </c>
      <c r="BA249" s="179">
        <v>38915343743.29335</v>
      </c>
      <c r="BB249" s="179">
        <v>44859452038.11779</v>
      </c>
      <c r="BC249" s="179">
        <v>43455740497.306107</v>
      </c>
      <c r="BD249" s="179">
        <v>46206091937.96283</v>
      </c>
      <c r="BE249" s="179">
        <v>48123314430.487755</v>
      </c>
      <c r="BF249" s="179">
        <v>47311411909.703407</v>
      </c>
      <c r="BG249" s="179">
        <v>48685436425.094604</v>
      </c>
      <c r="BH249" s="179">
        <v>50271812920.612015</v>
      </c>
      <c r="BI249" s="179">
        <v>45779494041.929527</v>
      </c>
      <c r="BJ249" s="179">
        <v>44360065796.620232</v>
      </c>
      <c r="BK249" s="179">
        <v>42163530590.946198</v>
      </c>
      <c r="BL249" s="179">
        <v>42686509835.528748</v>
      </c>
      <c r="BM249" s="179">
        <v>41905637658.605339</v>
      </c>
      <c r="BN249" s="179">
        <v>42538462678.120132</v>
      </c>
      <c r="BO249" s="179">
        <v>46687298709.354141</v>
      </c>
      <c r="BP249" s="179">
        <v>46664948951.657059</v>
      </c>
    </row>
    <row r="250" spans="1:68">
      <c r="A250" s="222" t="s">
        <v>1324</v>
      </c>
      <c r="B250" s="179">
        <f t="shared" si="3"/>
        <v>1</v>
      </c>
      <c r="C250" s="179" t="s">
        <v>952</v>
      </c>
      <c r="D250" s="179" t="s">
        <v>494</v>
      </c>
      <c r="E250" s="179" t="s">
        <v>495</v>
      </c>
      <c r="F250" s="179">
        <v>7552470818.8086538</v>
      </c>
      <c r="G250" s="179">
        <v>7971175166.2971172</v>
      </c>
      <c r="H250" s="179">
        <v>8902439024.3902435</v>
      </c>
      <c r="I250" s="179">
        <v>10332594235.033258</v>
      </c>
      <c r="J250" s="179">
        <v>11129344520.350536</v>
      </c>
      <c r="K250" s="179">
        <v>11913716815.477182</v>
      </c>
      <c r="L250" s="179">
        <v>14037610621.02186</v>
      </c>
      <c r="M250" s="179">
        <v>15575221240.660976</v>
      </c>
      <c r="N250" s="179">
        <v>17422566373.608692</v>
      </c>
      <c r="O250" s="179">
        <v>19380530975.595192</v>
      </c>
      <c r="P250" s="179">
        <v>17345632697.828102</v>
      </c>
      <c r="Q250" s="179">
        <v>16311659192.367985</v>
      </c>
      <c r="R250" s="179">
        <v>20431095406.360424</v>
      </c>
      <c r="S250" s="179">
        <v>25724381625.441696</v>
      </c>
      <c r="T250" s="179">
        <v>35599700823.376595</v>
      </c>
      <c r="U250" s="179">
        <v>44633449700.568649</v>
      </c>
      <c r="V250" s="179">
        <v>51279868356.626083</v>
      </c>
      <c r="W250" s="179">
        <v>58675998836.73851</v>
      </c>
      <c r="X250" s="179">
        <v>65146575335.74617</v>
      </c>
      <c r="Y250" s="179">
        <v>89392647416.600189</v>
      </c>
      <c r="Z250" s="179">
        <v>68789214177.120407</v>
      </c>
      <c r="AA250" s="179">
        <v>71040286283.518295</v>
      </c>
      <c r="AB250" s="179">
        <v>64546167132.12442</v>
      </c>
      <c r="AC250" s="179">
        <v>61678257318.300354</v>
      </c>
      <c r="AD250" s="179">
        <v>59990263932.898346</v>
      </c>
      <c r="AE250" s="179">
        <v>67234937530.723648</v>
      </c>
      <c r="AF250" s="179">
        <v>75727813488.765869</v>
      </c>
      <c r="AG250" s="179">
        <v>87168298081.867874</v>
      </c>
      <c r="AH250" s="179">
        <v>90853080152.213547</v>
      </c>
      <c r="AI250" s="179">
        <v>107143390749.85794</v>
      </c>
      <c r="AJ250" s="179">
        <v>150676194826.80942</v>
      </c>
      <c r="AK250" s="179">
        <v>151041399039.06763</v>
      </c>
      <c r="AL250" s="179">
        <v>159094972321.74783</v>
      </c>
      <c r="AM250" s="179">
        <v>180421862247.80533</v>
      </c>
      <c r="AN250" s="179">
        <v>130651877908.19547</v>
      </c>
      <c r="AO250" s="179">
        <v>169319354340.47952</v>
      </c>
      <c r="AP250" s="179">
        <v>181464650312.2713</v>
      </c>
      <c r="AQ250" s="179">
        <v>189878399894.64328</v>
      </c>
      <c r="AR250" s="179">
        <v>275941726172.3833</v>
      </c>
      <c r="AS250" s="179">
        <v>256395983758.49042</v>
      </c>
      <c r="AT250" s="179">
        <v>274294842523.05392</v>
      </c>
      <c r="AU250" s="179">
        <v>201753110088.57913</v>
      </c>
      <c r="AV250" s="179">
        <v>240249005455.21835</v>
      </c>
      <c r="AW250" s="179">
        <v>314595528425.30713</v>
      </c>
      <c r="AX250" s="179">
        <v>408865358516.58734</v>
      </c>
      <c r="AY250" s="179">
        <v>506314676837.41534</v>
      </c>
      <c r="AZ250" s="179">
        <v>557075996577.46594</v>
      </c>
      <c r="BA250" s="179">
        <v>681321173796.05347</v>
      </c>
      <c r="BB250" s="179">
        <v>770449308781.33838</v>
      </c>
      <c r="BC250" s="179">
        <v>649289418603.01306</v>
      </c>
      <c r="BD250" s="179">
        <v>776967457763.60205</v>
      </c>
      <c r="BE250" s="179">
        <v>838785514058.56177</v>
      </c>
      <c r="BF250" s="179">
        <v>880555912745.58154</v>
      </c>
      <c r="BG250" s="179">
        <v>957798998031.2771</v>
      </c>
      <c r="BH250" s="179">
        <v>938934430070.6593</v>
      </c>
      <c r="BI250" s="179">
        <v>864313960482.34265</v>
      </c>
      <c r="BJ250" s="179">
        <v>869682954136.20776</v>
      </c>
      <c r="BK250" s="179">
        <v>858988578709.75549</v>
      </c>
      <c r="BL250" s="179">
        <v>778476714087.96228</v>
      </c>
      <c r="BM250" s="179">
        <v>759934804372.31897</v>
      </c>
      <c r="BN250" s="179">
        <v>720288811761.91492</v>
      </c>
      <c r="BO250" s="179">
        <v>819034484303.16919</v>
      </c>
      <c r="BP250" s="179">
        <v>905987824096.12671</v>
      </c>
    </row>
    <row r="251" spans="1:68">
      <c r="A251" s="179" t="s">
        <v>934</v>
      </c>
      <c r="B251" s="179">
        <f t="shared" si="3"/>
        <v>1</v>
      </c>
      <c r="C251" s="179" t="s">
        <v>935</v>
      </c>
      <c r="D251" s="179" t="s">
        <v>494</v>
      </c>
      <c r="E251" s="179" t="s">
        <v>495</v>
      </c>
      <c r="AG251" s="179">
        <v>2331358819.7595434</v>
      </c>
      <c r="AH251" s="179">
        <v>3010982414.2442522</v>
      </c>
      <c r="AI251" s="179">
        <v>3006988216.550447</v>
      </c>
      <c r="AJ251" s="179">
        <v>3189539641.3171048</v>
      </c>
      <c r="AK251" s="179">
        <v>3208098919.0145984</v>
      </c>
      <c r="AL251" s="179">
        <v>3200539816.0600963</v>
      </c>
      <c r="AM251" s="179">
        <v>3179225948.5811377</v>
      </c>
      <c r="AN251" s="179">
        <v>2561118608.3551626</v>
      </c>
      <c r="AO251" s="179">
        <v>2482228439.7140694</v>
      </c>
      <c r="AP251" s="179">
        <v>2378759975.4450583</v>
      </c>
      <c r="AQ251" s="179">
        <v>2450349634.4743605</v>
      </c>
      <c r="AR251" s="179">
        <v>2605688065.0833807</v>
      </c>
      <c r="AS251" s="179">
        <v>2450564467.5831518</v>
      </c>
      <c r="AT251" s="179">
        <v>2904662604.820529</v>
      </c>
      <c r="AU251" s="179">
        <v>3534771968.5118895</v>
      </c>
      <c r="AV251" s="179">
        <v>4462028988.7294865</v>
      </c>
      <c r="AW251" s="179">
        <v>5977440582.8017139</v>
      </c>
      <c r="AX251" s="179">
        <v>6838351088.4668837</v>
      </c>
      <c r="AY251" s="179">
        <v>8103901996.3702354</v>
      </c>
      <c r="AZ251" s="179">
        <v>10276674364.896074</v>
      </c>
      <c r="BA251" s="179">
        <v>12664165103.189493</v>
      </c>
      <c r="BB251" s="179">
        <v>19271523178.807945</v>
      </c>
      <c r="BC251" s="179">
        <v>20214385964.912281</v>
      </c>
      <c r="BD251" s="179">
        <v>22583157894.736843</v>
      </c>
      <c r="BE251" s="179">
        <v>29233333333.333332</v>
      </c>
      <c r="BF251" s="179">
        <v>35164210526.315788</v>
      </c>
      <c r="BG251" s="179">
        <v>39197543859.649124</v>
      </c>
      <c r="BH251" s="179">
        <v>43524210526.315788</v>
      </c>
      <c r="BI251" s="179">
        <v>35799714285.714287</v>
      </c>
      <c r="BJ251" s="179">
        <v>36169428571.428574</v>
      </c>
      <c r="BK251" s="179">
        <v>37926285714.285713</v>
      </c>
      <c r="BL251" s="179">
        <v>40765428571.428574</v>
      </c>
      <c r="BM251" s="179">
        <v>44220285714.285713</v>
      </c>
      <c r="BN251" s="179">
        <v>45610571428.571426</v>
      </c>
    </row>
    <row r="252" spans="1:68">
      <c r="A252" s="179" t="s">
        <v>920</v>
      </c>
      <c r="B252" s="179">
        <f t="shared" si="3"/>
        <v>0</v>
      </c>
      <c r="C252" s="179" t="s">
        <v>921</v>
      </c>
      <c r="D252" s="179" t="s">
        <v>494</v>
      </c>
      <c r="E252" s="179" t="s">
        <v>495</v>
      </c>
      <c r="AU252" s="179">
        <v>358744800</v>
      </c>
      <c r="AV252" s="179">
        <v>366707900</v>
      </c>
      <c r="AW252" s="179">
        <v>409753600</v>
      </c>
      <c r="AX252" s="179">
        <v>485598800</v>
      </c>
      <c r="AY252" s="179">
        <v>578645800</v>
      </c>
      <c r="AZ252" s="179">
        <v>721891500</v>
      </c>
      <c r="BA252" s="179">
        <v>773489700</v>
      </c>
      <c r="BB252" s="179">
        <v>862683600</v>
      </c>
      <c r="BC252" s="179">
        <v>703175800</v>
      </c>
      <c r="BD252" s="179">
        <v>686787800</v>
      </c>
      <c r="BE252" s="179">
        <v>728789600</v>
      </c>
      <c r="BF252" s="179">
        <v>727161000</v>
      </c>
      <c r="BG252" s="179">
        <v>754238000</v>
      </c>
      <c r="BH252" s="179">
        <v>841070000</v>
      </c>
      <c r="BI252" s="179">
        <v>942070000</v>
      </c>
      <c r="BJ252" s="179">
        <v>1032452000</v>
      </c>
      <c r="BK252" s="179">
        <v>1022365000</v>
      </c>
      <c r="BL252" s="179">
        <v>1113178000</v>
      </c>
      <c r="BM252" s="179">
        <v>1197415000</v>
      </c>
      <c r="BN252" s="179">
        <v>924583000</v>
      </c>
      <c r="BO252" s="179">
        <v>1044778790.0000001</v>
      </c>
      <c r="BP252" s="179">
        <v>1138808881.0999999</v>
      </c>
    </row>
    <row r="253" spans="1:68">
      <c r="A253" s="179" t="s">
        <v>953</v>
      </c>
      <c r="B253" s="179">
        <f t="shared" si="3"/>
        <v>0</v>
      </c>
      <c r="C253" s="179" t="s">
        <v>954</v>
      </c>
      <c r="D253" s="179" t="s">
        <v>494</v>
      </c>
      <c r="E253" s="179" t="s">
        <v>495</v>
      </c>
      <c r="AJ253" s="179">
        <v>8824746.2381315194</v>
      </c>
      <c r="AK253" s="179">
        <v>9365488.1152763572</v>
      </c>
      <c r="AL253" s="179">
        <v>9742603.6335862782</v>
      </c>
      <c r="AM253" s="179">
        <v>9631024.9156783801</v>
      </c>
      <c r="AN253" s="179">
        <v>10887216.909025246</v>
      </c>
      <c r="AO253" s="179">
        <v>11025679.514763357</v>
      </c>
      <c r="AP253" s="179">
        <v>12335200.164858559</v>
      </c>
      <c r="AQ253" s="179">
        <v>12701093.974973653</v>
      </c>
      <c r="AR253" s="179">
        <v>12757405.79229128</v>
      </c>
      <c r="AS253" s="179">
        <v>13687141.105877798</v>
      </c>
      <c r="AT253" s="179">
        <v>15073978.448075913</v>
      </c>
      <c r="AU253" s="179">
        <v>13964728.71574924</v>
      </c>
      <c r="AV253" s="179">
        <v>16842677.170701891</v>
      </c>
      <c r="AW253" s="179">
        <v>19456335.928772472</v>
      </c>
      <c r="AX253" s="179">
        <v>22798266.596310727</v>
      </c>
      <c r="AY253" s="179">
        <v>22909973.984451823</v>
      </c>
      <c r="AZ253" s="179">
        <v>24096867.470445465</v>
      </c>
      <c r="BA253" s="179">
        <v>28450156.789650839</v>
      </c>
      <c r="BB253" s="179">
        <v>31874425.94578281</v>
      </c>
      <c r="BC253" s="179">
        <v>28076988.129093822</v>
      </c>
      <c r="BD253" s="179">
        <v>32105394.152927268</v>
      </c>
      <c r="BE253" s="179">
        <v>39196949.344062313</v>
      </c>
      <c r="BF253" s="179">
        <v>39345578.223376662</v>
      </c>
      <c r="BG253" s="179">
        <v>38615887.033820502</v>
      </c>
      <c r="BH253" s="179">
        <v>38760972.423031457</v>
      </c>
      <c r="BI253" s="179">
        <v>36811928.824139975</v>
      </c>
      <c r="BJ253" s="179">
        <v>41629064.965341605</v>
      </c>
      <c r="BK253" s="179">
        <v>45276606.001455076</v>
      </c>
      <c r="BL253" s="179">
        <v>48015219.952623434</v>
      </c>
      <c r="BM253" s="179">
        <v>54123195.272750162</v>
      </c>
      <c r="BN253" s="179">
        <v>51746568.69711905</v>
      </c>
      <c r="BO253" s="179">
        <v>60196366.806682132</v>
      </c>
      <c r="BP253" s="179">
        <v>60349391.098803349</v>
      </c>
    </row>
    <row r="254" spans="1:68">
      <c r="A254" s="179" t="s">
        <v>957</v>
      </c>
      <c r="B254" s="179">
        <f t="shared" si="3"/>
        <v>1</v>
      </c>
      <c r="C254" s="179" t="s">
        <v>958</v>
      </c>
      <c r="D254" s="179" t="s">
        <v>494</v>
      </c>
      <c r="E254" s="179" t="s">
        <v>495</v>
      </c>
      <c r="F254" s="179">
        <v>423008385.7442348</v>
      </c>
      <c r="G254" s="179">
        <v>441524109.01467508</v>
      </c>
      <c r="H254" s="179">
        <v>449012578.6163522</v>
      </c>
      <c r="I254" s="179">
        <v>516147798.74213839</v>
      </c>
      <c r="J254" s="179">
        <v>589056603.77358496</v>
      </c>
      <c r="K254" s="179">
        <v>884502309.06929874</v>
      </c>
      <c r="L254" s="179">
        <v>925381491.44477105</v>
      </c>
      <c r="M254" s="179">
        <v>967240654.21965563</v>
      </c>
      <c r="N254" s="179">
        <v>1037379251.3775725</v>
      </c>
      <c r="O254" s="179">
        <v>1168556627.6988661</v>
      </c>
      <c r="P254" s="179">
        <v>1259554807.6442673</v>
      </c>
      <c r="Q254" s="179">
        <v>1417191654.749685</v>
      </c>
      <c r="R254" s="179">
        <v>1490970267.2332597</v>
      </c>
      <c r="S254" s="179">
        <v>1701817876.6058586</v>
      </c>
      <c r="T254" s="179">
        <v>2098944967.5076911</v>
      </c>
      <c r="U254" s="179">
        <v>2359555555.5555558</v>
      </c>
      <c r="V254" s="179">
        <v>2447300000</v>
      </c>
      <c r="W254" s="179">
        <v>2936470588.2352939</v>
      </c>
      <c r="X254" s="179">
        <v>2420260869.5652175</v>
      </c>
      <c r="Y254" s="179">
        <v>2139025000</v>
      </c>
      <c r="Z254" s="179">
        <v>1244610000</v>
      </c>
      <c r="AA254" s="179">
        <v>1337300000</v>
      </c>
      <c r="AB254" s="179">
        <v>2177500000</v>
      </c>
      <c r="AC254" s="179">
        <v>2240333333.3333335</v>
      </c>
      <c r="AD254" s="179">
        <v>3615647477.068624</v>
      </c>
      <c r="AE254" s="179">
        <v>3519695212.5277314</v>
      </c>
      <c r="AF254" s="179">
        <v>3923244170.4414468</v>
      </c>
      <c r="AG254" s="179">
        <v>6269522147.4435329</v>
      </c>
      <c r="AH254" s="179">
        <v>6508931651.666667</v>
      </c>
      <c r="AI254" s="179">
        <v>5276480789.7539616</v>
      </c>
      <c r="AJ254" s="179">
        <v>4304399314.7988281</v>
      </c>
      <c r="AK254" s="179">
        <v>3321729157.6129599</v>
      </c>
      <c r="AL254" s="179">
        <v>2857457760.9178872</v>
      </c>
      <c r="AM254" s="179">
        <v>3220439044.1894865</v>
      </c>
      <c r="AN254" s="179">
        <v>3990430446.7121596</v>
      </c>
      <c r="AO254" s="179">
        <v>5755818844.5498829</v>
      </c>
      <c r="AP254" s="179">
        <v>6044585326.9380007</v>
      </c>
      <c r="AQ254" s="179">
        <v>6269333313.1710835</v>
      </c>
      <c r="AR254" s="179">
        <v>6584815846.5275383</v>
      </c>
      <c r="AS254" s="179">
        <v>5998563257.9465895</v>
      </c>
      <c r="AT254" s="179">
        <v>6193246837.0968733</v>
      </c>
      <c r="AU254" s="179">
        <v>5840503868.5724554</v>
      </c>
      <c r="AV254" s="179">
        <v>6178563590.8925371</v>
      </c>
      <c r="AW254" s="179">
        <v>6606884273.8491907</v>
      </c>
      <c r="AX254" s="179">
        <v>7939487548.4060478</v>
      </c>
      <c r="AY254" s="179">
        <v>9239221760.4823246</v>
      </c>
      <c r="AZ254" s="179">
        <v>9977647685.2851486</v>
      </c>
      <c r="BA254" s="179">
        <v>11902564496.690805</v>
      </c>
      <c r="BB254" s="179">
        <v>14440404136.566851</v>
      </c>
      <c r="BC254" s="179">
        <v>25127805566.451115</v>
      </c>
      <c r="BD254" s="179">
        <v>26673441432.457886</v>
      </c>
      <c r="BE254" s="179">
        <v>27871725245.168827</v>
      </c>
      <c r="BF254" s="179">
        <v>27305915907.99395</v>
      </c>
      <c r="BG254" s="179">
        <v>28915786520.393501</v>
      </c>
      <c r="BH254" s="179">
        <v>32612397253.239521</v>
      </c>
      <c r="BI254" s="179">
        <v>32387183733.020748</v>
      </c>
      <c r="BJ254" s="179">
        <v>29203988697.458973</v>
      </c>
      <c r="BK254" s="179">
        <v>30744473839.743942</v>
      </c>
      <c r="BL254" s="179">
        <v>32927025621.384838</v>
      </c>
      <c r="BM254" s="179">
        <v>35348155092.291977</v>
      </c>
      <c r="BN254" s="179">
        <v>37605430214.347031</v>
      </c>
      <c r="BO254" s="179">
        <v>40510241365.90287</v>
      </c>
      <c r="BP254" s="179">
        <v>45559202048.734489</v>
      </c>
    </row>
    <row r="255" spans="1:68">
      <c r="A255" s="179" t="s">
        <v>959</v>
      </c>
      <c r="B255" s="179">
        <f t="shared" si="3"/>
        <v>1</v>
      </c>
      <c r="C255" s="179" t="s">
        <v>960</v>
      </c>
      <c r="D255" s="179" t="s">
        <v>494</v>
      </c>
      <c r="E255" s="179" t="s">
        <v>495</v>
      </c>
      <c r="AG255" s="179">
        <v>64087694038.233315</v>
      </c>
      <c r="AH255" s="179">
        <v>74703517902.664246</v>
      </c>
      <c r="AI255" s="179">
        <v>82709161099.12439</v>
      </c>
      <c r="AJ255" s="179">
        <v>81393558423.440628</v>
      </c>
      <c r="AK255" s="179">
        <v>77350733982.445801</v>
      </c>
      <c r="AL255" s="179">
        <v>73945908383.704575</v>
      </c>
      <c r="AM255" s="179">
        <v>65648559903.057068</v>
      </c>
      <c r="AN255" s="179">
        <v>52549553403.030418</v>
      </c>
      <c r="AO255" s="179">
        <v>48213867647.452347</v>
      </c>
      <c r="AP255" s="179">
        <v>44558841762.366707</v>
      </c>
      <c r="AQ255" s="179">
        <v>50151522612.008202</v>
      </c>
      <c r="AR255" s="179">
        <v>41882529044.549095</v>
      </c>
      <c r="AS255" s="179">
        <v>31580642102.43858</v>
      </c>
      <c r="AT255" s="179">
        <v>32375081951.141823</v>
      </c>
      <c r="AU255" s="179">
        <v>39309580983.228165</v>
      </c>
      <c r="AV255" s="179">
        <v>43956163612.043274</v>
      </c>
      <c r="AW255" s="179">
        <v>52010352502.005745</v>
      </c>
      <c r="AX255" s="179">
        <v>67220154164.316605</v>
      </c>
      <c r="AY255" s="179">
        <v>89238865118.52626</v>
      </c>
      <c r="AZ255" s="179">
        <v>111884752475.24753</v>
      </c>
      <c r="BA255" s="179">
        <v>148733861386.13861</v>
      </c>
      <c r="BB255" s="179">
        <v>188110375778.93088</v>
      </c>
      <c r="BC255" s="179">
        <v>121552148243.7478</v>
      </c>
      <c r="BD255" s="179">
        <v>141209163012.94052</v>
      </c>
      <c r="BE255" s="179">
        <v>169333838743.70456</v>
      </c>
      <c r="BF255" s="179">
        <v>182591746211.41849</v>
      </c>
      <c r="BG255" s="179">
        <v>190498811460.02753</v>
      </c>
      <c r="BH255" s="179">
        <v>133503867181.97134</v>
      </c>
      <c r="BI255" s="179">
        <v>91030968761.415527</v>
      </c>
      <c r="BJ255" s="179">
        <v>93355868977.661942</v>
      </c>
      <c r="BK255" s="179">
        <v>112090503817.39868</v>
      </c>
      <c r="BL255" s="179">
        <v>130891086689.52171</v>
      </c>
      <c r="BM255" s="179">
        <v>153883045524.93103</v>
      </c>
      <c r="BN255" s="179">
        <v>156617719786.25385</v>
      </c>
      <c r="BO255" s="179">
        <v>199765856764.5007</v>
      </c>
      <c r="BP255" s="179">
        <v>160502739236.09692</v>
      </c>
    </row>
    <row r="256" spans="1:68">
      <c r="A256" s="179" t="s">
        <v>510</v>
      </c>
      <c r="B256" s="179">
        <f t="shared" si="3"/>
        <v>1</v>
      </c>
      <c r="C256" s="179" t="s">
        <v>511</v>
      </c>
      <c r="D256" s="179" t="s">
        <v>494</v>
      </c>
      <c r="E256" s="179" t="s">
        <v>495</v>
      </c>
      <c r="U256" s="179">
        <v>14720728252.251663</v>
      </c>
      <c r="V256" s="179">
        <v>19213156353.497982</v>
      </c>
      <c r="W256" s="179">
        <v>24871775164.604309</v>
      </c>
      <c r="X256" s="179">
        <v>23775765254.439346</v>
      </c>
      <c r="Y256" s="179">
        <v>31225660993.098629</v>
      </c>
      <c r="Z256" s="179">
        <v>43599160062.092392</v>
      </c>
      <c r="AA256" s="179">
        <v>49333424148.551735</v>
      </c>
      <c r="AB256" s="179">
        <v>46622718617.98494</v>
      </c>
      <c r="AC256" s="179">
        <v>42803323356.797417</v>
      </c>
      <c r="AD256" s="179">
        <v>41807954240.648354</v>
      </c>
      <c r="AE256" s="179">
        <v>40603650231.54454</v>
      </c>
      <c r="AF256" s="179">
        <v>33943612094.797058</v>
      </c>
      <c r="AG256" s="179">
        <v>36384908744.211388</v>
      </c>
      <c r="AH256" s="179">
        <v>36275674203.214386</v>
      </c>
      <c r="AI256" s="179">
        <v>41464995913.919914</v>
      </c>
      <c r="AJ256" s="179">
        <v>50701443748.29747</v>
      </c>
      <c r="AK256" s="179">
        <v>51552165622.446205</v>
      </c>
      <c r="AL256" s="179">
        <v>54239171887.769005</v>
      </c>
      <c r="AM256" s="179">
        <v>55625170253.336967</v>
      </c>
      <c r="AN256" s="179">
        <v>59305093979.84201</v>
      </c>
      <c r="AO256" s="179">
        <v>65743666575.864891</v>
      </c>
      <c r="AP256" s="179">
        <v>73571233996.186325</v>
      </c>
      <c r="AQ256" s="179">
        <v>78839008444.565521</v>
      </c>
      <c r="AR256" s="179">
        <v>75674336283.185837</v>
      </c>
      <c r="AS256" s="179">
        <v>84445473110.959839</v>
      </c>
      <c r="AT256" s="179">
        <v>104337372362.15112</v>
      </c>
      <c r="AU256" s="179">
        <v>103311640571.81757</v>
      </c>
      <c r="AV256" s="179">
        <v>109816201497.61743</v>
      </c>
      <c r="AW256" s="179">
        <v>124346358066.71205</v>
      </c>
      <c r="AX256" s="179">
        <v>147824370319.94556</v>
      </c>
      <c r="AY256" s="179">
        <v>180617467964.60178</v>
      </c>
      <c r="AZ256" s="179">
        <v>222116541865.21445</v>
      </c>
      <c r="BA256" s="179">
        <v>257916133424.09802</v>
      </c>
      <c r="BB256" s="179">
        <v>315474615738.59772</v>
      </c>
      <c r="BC256" s="179">
        <v>253547358747.44727</v>
      </c>
      <c r="BD256" s="179">
        <v>289787452661.67462</v>
      </c>
      <c r="BE256" s="179">
        <v>350666058379.85022</v>
      </c>
      <c r="BF256" s="179">
        <v>384610125391.42273</v>
      </c>
      <c r="BG256" s="179">
        <v>400218529748.12799</v>
      </c>
      <c r="BH256" s="179">
        <v>414105366752.89313</v>
      </c>
      <c r="BI256" s="179">
        <v>370275469571.13684</v>
      </c>
      <c r="BJ256" s="179">
        <v>369255326235.53436</v>
      </c>
      <c r="BK256" s="179">
        <v>390516804029.95233</v>
      </c>
      <c r="BL256" s="179">
        <v>427049432157.9306</v>
      </c>
      <c r="BM256" s="179">
        <v>417989721742.68213</v>
      </c>
      <c r="BN256" s="179">
        <v>349473015330.15656</v>
      </c>
      <c r="BO256" s="179">
        <v>415021590687.54254</v>
      </c>
      <c r="BP256" s="179">
        <v>507534921715.4527</v>
      </c>
    </row>
    <row r="257" spans="1:68">
      <c r="A257" s="179" t="s">
        <v>81</v>
      </c>
      <c r="B257" s="179">
        <f t="shared" si="3"/>
        <v>1</v>
      </c>
      <c r="C257" s="179" t="s">
        <v>642</v>
      </c>
      <c r="D257" s="179" t="s">
        <v>494</v>
      </c>
      <c r="E257" s="179" t="s">
        <v>495</v>
      </c>
      <c r="F257" s="179">
        <v>73233970838.232788</v>
      </c>
      <c r="G257" s="179">
        <v>77741969043.147903</v>
      </c>
      <c r="H257" s="179">
        <v>81247567647.218536</v>
      </c>
      <c r="I257" s="179">
        <v>86561965531.025284</v>
      </c>
      <c r="J257" s="179">
        <v>94407562406.908615</v>
      </c>
      <c r="K257" s="179">
        <v>101824759453.38075</v>
      </c>
      <c r="L257" s="179">
        <v>108572756766.32822</v>
      </c>
      <c r="M257" s="179">
        <v>113116882129.93555</v>
      </c>
      <c r="N257" s="179">
        <v>107759913942.93263</v>
      </c>
      <c r="O257" s="179">
        <v>116464706991.2849</v>
      </c>
      <c r="P257" s="179">
        <v>130682295637.11859</v>
      </c>
      <c r="Q257" s="179">
        <v>148106601857.13687</v>
      </c>
      <c r="R257" s="179">
        <v>169969084028.49045</v>
      </c>
      <c r="S257" s="179">
        <v>192551676950.86124</v>
      </c>
      <c r="T257" s="179">
        <v>206152361030.54315</v>
      </c>
      <c r="U257" s="179">
        <v>241734621312.29465</v>
      </c>
      <c r="V257" s="179">
        <v>232610445456.53827</v>
      </c>
      <c r="W257" s="179">
        <v>263079306617.24155</v>
      </c>
      <c r="X257" s="179">
        <v>335880078399.84827</v>
      </c>
      <c r="Y257" s="179">
        <v>439011580877.70288</v>
      </c>
      <c r="Z257" s="179">
        <v>564954276868.08875</v>
      </c>
      <c r="AA257" s="179">
        <v>540720761152.0498</v>
      </c>
      <c r="AB257" s="179">
        <v>515006780277.42358</v>
      </c>
      <c r="AC257" s="179">
        <v>489599764279.81616</v>
      </c>
      <c r="AD257" s="179">
        <v>461483005638.35284</v>
      </c>
      <c r="AE257" s="179">
        <v>489256281228.6673</v>
      </c>
      <c r="AF257" s="179">
        <v>601455004221.65271</v>
      </c>
      <c r="AG257" s="179">
        <v>745130338365.80042</v>
      </c>
      <c r="AH257" s="179">
        <v>910171030657.67993</v>
      </c>
      <c r="AI257" s="179">
        <v>926926143222.19043</v>
      </c>
      <c r="AJ257" s="179">
        <v>1093213710428.0087</v>
      </c>
      <c r="AK257" s="179">
        <v>1142766274398.2239</v>
      </c>
      <c r="AL257" s="179">
        <v>1179713014951.8296</v>
      </c>
      <c r="AM257" s="179">
        <v>1061457883633.5503</v>
      </c>
      <c r="AN257" s="179">
        <v>1140443311074.4995</v>
      </c>
      <c r="AO257" s="179">
        <v>1346252041210.4685</v>
      </c>
      <c r="AP257" s="179">
        <v>1421711933486.2144</v>
      </c>
      <c r="AQ257" s="179">
        <v>1561715127635.2229</v>
      </c>
      <c r="AR257" s="179">
        <v>1654996607708.189</v>
      </c>
      <c r="AS257" s="179">
        <v>1689407711357.0354</v>
      </c>
      <c r="AT257" s="179">
        <v>1666048767079.7632</v>
      </c>
      <c r="AU257" s="179">
        <v>1648765214386.9978</v>
      </c>
      <c r="AV257" s="179">
        <v>1785781372553.9185</v>
      </c>
      <c r="AW257" s="179">
        <v>2056704586736.5474</v>
      </c>
      <c r="AX257" s="179">
        <v>2423047347028.4521</v>
      </c>
      <c r="AY257" s="179">
        <v>2544813166100.5049</v>
      </c>
      <c r="AZ257" s="179">
        <v>2709978165671.0361</v>
      </c>
      <c r="BA257" s="179">
        <v>3092996468387.228</v>
      </c>
      <c r="BB257" s="179">
        <v>2931683721186.7466</v>
      </c>
      <c r="BC257" s="179">
        <v>2417565709974.4907</v>
      </c>
      <c r="BD257" s="179">
        <v>2491397494467.9458</v>
      </c>
      <c r="BE257" s="179">
        <v>2666403005061.417</v>
      </c>
      <c r="BF257" s="179">
        <v>2706340967030.6821</v>
      </c>
      <c r="BG257" s="179">
        <v>2786315215249.9458</v>
      </c>
      <c r="BH257" s="179">
        <v>3065223279583.7935</v>
      </c>
      <c r="BI257" s="179">
        <v>2934857946213.4746</v>
      </c>
      <c r="BJ257" s="179">
        <v>2699659680997.1973</v>
      </c>
      <c r="BK257" s="179">
        <v>2683488510504.0386</v>
      </c>
      <c r="BL257" s="179">
        <v>2878152147315.8159</v>
      </c>
      <c r="BM257" s="179">
        <v>2857057847953.0215</v>
      </c>
      <c r="BN257" s="179">
        <v>2704609160088.1504</v>
      </c>
      <c r="BO257" s="179">
        <v>3122480345924.5425</v>
      </c>
      <c r="BP257" s="179">
        <v>3070667732359.2051</v>
      </c>
    </row>
    <row r="258" spans="1:68">
      <c r="A258" s="179" t="s">
        <v>965</v>
      </c>
      <c r="B258" s="179">
        <f t="shared" si="3"/>
        <v>0</v>
      </c>
      <c r="C258" s="179" t="s">
        <v>76</v>
      </c>
      <c r="D258" s="179" t="s">
        <v>494</v>
      </c>
      <c r="E258" s="179" t="s">
        <v>495</v>
      </c>
      <c r="F258" s="179">
        <v>543300000000</v>
      </c>
      <c r="G258" s="179">
        <v>563300000000</v>
      </c>
      <c r="H258" s="179">
        <v>605100000000</v>
      </c>
      <c r="I258" s="179">
        <v>638600000000</v>
      </c>
      <c r="J258" s="179">
        <v>685800000000</v>
      </c>
      <c r="K258" s="179">
        <v>743700000000</v>
      </c>
      <c r="L258" s="179">
        <v>815000000000</v>
      </c>
      <c r="M258" s="179">
        <v>861700000000</v>
      </c>
      <c r="N258" s="179">
        <v>942500000000</v>
      </c>
      <c r="O258" s="179">
        <v>1019900000000</v>
      </c>
      <c r="P258" s="179">
        <v>1073303000000</v>
      </c>
      <c r="Q258" s="179">
        <v>1164850000000</v>
      </c>
      <c r="R258" s="179">
        <v>1279110000000</v>
      </c>
      <c r="S258" s="179">
        <v>1425376000000</v>
      </c>
      <c r="T258" s="179">
        <v>1545243000000</v>
      </c>
      <c r="U258" s="179">
        <v>1684904000000</v>
      </c>
      <c r="V258" s="179">
        <v>1873412000000</v>
      </c>
      <c r="W258" s="179">
        <v>2081826000000</v>
      </c>
      <c r="X258" s="179">
        <v>2351599000000</v>
      </c>
      <c r="Y258" s="179">
        <v>2627333000000</v>
      </c>
      <c r="Z258" s="179">
        <v>2857307000000</v>
      </c>
      <c r="AA258" s="179">
        <v>3207041000000</v>
      </c>
      <c r="AB258" s="179">
        <v>3343789000000</v>
      </c>
      <c r="AC258" s="179">
        <v>3634038000000</v>
      </c>
      <c r="AD258" s="179">
        <v>4037613000000</v>
      </c>
      <c r="AE258" s="179">
        <v>4338979000000</v>
      </c>
      <c r="AF258" s="179">
        <v>4579631000000</v>
      </c>
      <c r="AG258" s="179">
        <v>4855215000000</v>
      </c>
      <c r="AH258" s="179">
        <v>5236438000000</v>
      </c>
      <c r="AI258" s="179">
        <v>5641580000000</v>
      </c>
      <c r="AJ258" s="179">
        <v>5963144000000</v>
      </c>
      <c r="AK258" s="179">
        <v>6158129000000</v>
      </c>
      <c r="AL258" s="179">
        <v>6520327000000</v>
      </c>
      <c r="AM258" s="179">
        <v>6858559000000</v>
      </c>
      <c r="AN258" s="179">
        <v>7287236000000</v>
      </c>
      <c r="AO258" s="179">
        <v>7639749000000</v>
      </c>
      <c r="AP258" s="179">
        <v>8073122000000</v>
      </c>
      <c r="AQ258" s="179">
        <v>8577554457000</v>
      </c>
      <c r="AR258" s="179">
        <v>9062818202000</v>
      </c>
      <c r="AS258" s="179">
        <v>9631174489000</v>
      </c>
      <c r="AT258" s="179">
        <v>10250947997000</v>
      </c>
      <c r="AU258" s="179">
        <v>10581929774000</v>
      </c>
      <c r="AV258" s="179">
        <v>10929112955000</v>
      </c>
      <c r="AW258" s="179">
        <v>11456442041000</v>
      </c>
      <c r="AX258" s="179">
        <v>12217193198000</v>
      </c>
      <c r="AY258" s="179">
        <v>13039199193000</v>
      </c>
      <c r="AZ258" s="179">
        <v>13815586948000</v>
      </c>
      <c r="BA258" s="179">
        <v>14474226905000</v>
      </c>
      <c r="BB258" s="179">
        <v>14769857911000</v>
      </c>
      <c r="BC258" s="179">
        <v>14478064934000</v>
      </c>
      <c r="BD258" s="179">
        <v>15048964444000</v>
      </c>
      <c r="BE258" s="179">
        <v>15599728123000</v>
      </c>
      <c r="BF258" s="179">
        <v>16253972230000</v>
      </c>
      <c r="BG258" s="179">
        <v>16843190993000</v>
      </c>
      <c r="BH258" s="179">
        <v>17550680174000</v>
      </c>
      <c r="BI258" s="179">
        <v>18206020741000</v>
      </c>
      <c r="BJ258" s="179">
        <v>18695110842000</v>
      </c>
      <c r="BK258" s="179">
        <v>19477336549000</v>
      </c>
      <c r="BL258" s="179">
        <v>20533057312000</v>
      </c>
      <c r="BM258" s="179">
        <v>21380976119000</v>
      </c>
      <c r="BN258" s="179">
        <v>21060473613000</v>
      </c>
      <c r="BO258" s="179">
        <v>23315080560000</v>
      </c>
      <c r="BP258" s="179">
        <v>25462700000000</v>
      </c>
    </row>
    <row r="259" spans="1:68">
      <c r="A259" s="179" t="s">
        <v>961</v>
      </c>
      <c r="B259" s="179">
        <f t="shared" si="3"/>
        <v>0</v>
      </c>
      <c r="C259" s="179" t="s">
        <v>962</v>
      </c>
      <c r="D259" s="179" t="s">
        <v>494</v>
      </c>
      <c r="E259" s="179" t="s">
        <v>495</v>
      </c>
      <c r="F259" s="179">
        <v>229313536534.49274</v>
      </c>
      <c r="G259" s="179">
        <v>217557259638.34668</v>
      </c>
      <c r="H259" s="179">
        <v>223123039214.3201</v>
      </c>
      <c r="I259" s="179">
        <v>234129505241.67859</v>
      </c>
      <c r="J259" s="179">
        <v>268661015368.31262</v>
      </c>
      <c r="K259" s="179">
        <v>300143481292.05841</v>
      </c>
      <c r="L259" s="179">
        <v>331542693710.85455</v>
      </c>
      <c r="M259" s="179">
        <v>333642404111.70789</v>
      </c>
      <c r="N259" s="179">
        <v>350115035911.5636</v>
      </c>
      <c r="O259" s="179">
        <v>392809511713.55219</v>
      </c>
      <c r="P259" s="179">
        <v>430722632315.81378</v>
      </c>
      <c r="Q259" s="179">
        <v>467247859712.14001</v>
      </c>
      <c r="R259" s="179">
        <v>531816361499.83417</v>
      </c>
      <c r="S259" s="179">
        <v>694386737370.90942</v>
      </c>
      <c r="T259" s="179">
        <v>868560009321.68738</v>
      </c>
      <c r="U259" s="179">
        <v>959658335595.18616</v>
      </c>
      <c r="V259" s="179">
        <v>1018860419509.766</v>
      </c>
      <c r="W259" s="179">
        <v>1133358764185.8257</v>
      </c>
      <c r="X259" s="179">
        <v>1262847704203.5081</v>
      </c>
      <c r="Y259" s="179">
        <v>1461209943939.29</v>
      </c>
      <c r="Z259" s="179">
        <v>1716330585868.3398</v>
      </c>
      <c r="AA259" s="179">
        <v>1864136131757.0054</v>
      </c>
      <c r="AB259" s="179">
        <v>1791984785032.2732</v>
      </c>
      <c r="AC259" s="179">
        <v>1695520751625.606</v>
      </c>
      <c r="AD259" s="179">
        <v>1802314273336.4968</v>
      </c>
      <c r="AE259" s="179">
        <v>1834108045681.4456</v>
      </c>
      <c r="AF259" s="179">
        <v>1857700185343.2869</v>
      </c>
      <c r="AG259" s="179">
        <v>1989957753559.5884</v>
      </c>
      <c r="AH259" s="179">
        <v>2185346524589.5186</v>
      </c>
      <c r="AI259" s="179">
        <v>2333154208117.5366</v>
      </c>
      <c r="AJ259" s="179">
        <v>2756767439045.5312</v>
      </c>
      <c r="AK259" s="179">
        <v>2677432849078.8882</v>
      </c>
      <c r="AL259" s="179">
        <v>2794814023931.1787</v>
      </c>
      <c r="AM259" s="179">
        <v>3068883874615.9375</v>
      </c>
      <c r="AN259" s="179">
        <v>3345607407893.0937</v>
      </c>
      <c r="AO259" s="179">
        <v>3744627507199.1069</v>
      </c>
      <c r="AP259" s="179">
        <v>4082479563769.8408</v>
      </c>
      <c r="AQ259" s="179">
        <v>4345555737600.8228</v>
      </c>
      <c r="AR259" s="179">
        <v>4166274273158.3145</v>
      </c>
      <c r="AS259" s="179">
        <v>3987442722574.9092</v>
      </c>
      <c r="AT259" s="179">
        <v>4418290422685.4932</v>
      </c>
      <c r="AU259" s="179">
        <v>4434160160761.0654</v>
      </c>
      <c r="AV259" s="179">
        <v>4499020434440.6582</v>
      </c>
      <c r="AW259" s="179">
        <v>5052354848145.1562</v>
      </c>
      <c r="AX259" s="179">
        <v>6029942150777.5244</v>
      </c>
      <c r="AY259" s="179">
        <v>7222694384206.5557</v>
      </c>
      <c r="AZ259" s="179">
        <v>8602214788409.7939</v>
      </c>
      <c r="BA259" s="179">
        <v>10635743057387.062</v>
      </c>
      <c r="BB259" s="179">
        <v>12953100695356.949</v>
      </c>
      <c r="BC259" s="179">
        <v>12520122233351.98</v>
      </c>
      <c r="BD259" s="179">
        <v>15356267754831.697</v>
      </c>
      <c r="BE259" s="179">
        <v>18538276005119.793</v>
      </c>
      <c r="BF259" s="179">
        <v>19829689458382.652</v>
      </c>
      <c r="BG259" s="179">
        <v>21215649863990.148</v>
      </c>
      <c r="BH259" s="179">
        <v>21825453186268.68</v>
      </c>
      <c r="BI259" s="179">
        <v>20518584369299.02</v>
      </c>
      <c r="BJ259" s="179">
        <v>20476321992810.504</v>
      </c>
      <c r="BK259" s="179">
        <v>22654892975159.023</v>
      </c>
      <c r="BL259" s="179">
        <v>24340482542310.262</v>
      </c>
      <c r="BM259" s="179">
        <v>24792971685094.895</v>
      </c>
      <c r="BN259" s="179">
        <v>23928189369748.461</v>
      </c>
      <c r="BO259" s="179">
        <v>28475143446764.027</v>
      </c>
      <c r="BP259" s="179">
        <v>30055338614864.102</v>
      </c>
    </row>
    <row r="260" spans="1:68">
      <c r="A260" s="179" t="s">
        <v>963</v>
      </c>
      <c r="B260" s="179">
        <f t="shared" si="3"/>
        <v>0</v>
      </c>
      <c r="C260" s="179" t="s">
        <v>964</v>
      </c>
      <c r="D260" s="179" t="s">
        <v>494</v>
      </c>
      <c r="E260" s="179" t="s">
        <v>495</v>
      </c>
      <c r="F260" s="179">
        <v>1242289239.2049348</v>
      </c>
      <c r="G260" s="179">
        <v>1547388781.4313347</v>
      </c>
      <c r="H260" s="179">
        <v>1710004407.2278535</v>
      </c>
      <c r="I260" s="179">
        <v>1539681490.7817352</v>
      </c>
      <c r="J260" s="179">
        <v>1975701816.4661474</v>
      </c>
      <c r="K260" s="179">
        <v>1890767155.5262198</v>
      </c>
      <c r="L260" s="179">
        <v>1809185093.5518777</v>
      </c>
      <c r="M260" s="179">
        <v>1597713469.0961058</v>
      </c>
      <c r="N260" s="179">
        <v>1593674184.5628517</v>
      </c>
      <c r="O260" s="179">
        <v>2004435483.8709676</v>
      </c>
      <c r="P260" s="179">
        <v>2137096774.1935482</v>
      </c>
      <c r="Q260" s="179">
        <v>2807258064.516129</v>
      </c>
      <c r="R260" s="179">
        <v>2189418688.8040819</v>
      </c>
      <c r="S260" s="179">
        <v>3964296443.3525424</v>
      </c>
      <c r="T260" s="179">
        <v>4090209681.9717207</v>
      </c>
      <c r="U260" s="179">
        <v>3538278046.9623609</v>
      </c>
      <c r="V260" s="179">
        <v>3667161241.4837246</v>
      </c>
      <c r="W260" s="179">
        <v>4114670014.3471999</v>
      </c>
      <c r="X260" s="179">
        <v>4910254565.5783091</v>
      </c>
      <c r="Y260" s="179">
        <v>7181182224.1122713</v>
      </c>
      <c r="Z260" s="179">
        <v>10163020115.734362</v>
      </c>
      <c r="AA260" s="179">
        <v>11048301420.630053</v>
      </c>
      <c r="AB260" s="179">
        <v>9178780076.9971333</v>
      </c>
      <c r="AC260" s="179">
        <v>5102276308.4531336</v>
      </c>
      <c r="AD260" s="179">
        <v>4850238549.6183233</v>
      </c>
      <c r="AE260" s="179">
        <v>4732025669.964674</v>
      </c>
      <c r="AF260" s="179">
        <v>5880106316.8263302</v>
      </c>
      <c r="AG260" s="179">
        <v>7367504969.9585295</v>
      </c>
      <c r="AH260" s="179">
        <v>8213526913.6628942</v>
      </c>
      <c r="AI260" s="179">
        <v>8438946947.6022758</v>
      </c>
      <c r="AJ260" s="179">
        <v>9298806525.0990028</v>
      </c>
      <c r="AK260" s="179">
        <v>11206174799.561888</v>
      </c>
      <c r="AL260" s="179">
        <v>12878150209.902861</v>
      </c>
      <c r="AM260" s="179">
        <v>15002138240.039232</v>
      </c>
      <c r="AN260" s="179">
        <v>17474590050.721157</v>
      </c>
      <c r="AO260" s="179">
        <v>19297663096.550636</v>
      </c>
      <c r="AP260" s="179">
        <v>20515457255.754646</v>
      </c>
      <c r="AQ260" s="179">
        <v>23969738387.671894</v>
      </c>
      <c r="AR260" s="179">
        <v>25385887785.585171</v>
      </c>
      <c r="AS260" s="179">
        <v>23983945190.620232</v>
      </c>
      <c r="AT260" s="179">
        <v>22823271520.870819</v>
      </c>
      <c r="AU260" s="179">
        <v>20898762265.265285</v>
      </c>
      <c r="AV260" s="179">
        <v>13606515935.951958</v>
      </c>
      <c r="AW260" s="179">
        <v>12045638209.51115</v>
      </c>
      <c r="AX260" s="179">
        <v>13686329890.119078</v>
      </c>
      <c r="AY260" s="179">
        <v>17362857683.854469</v>
      </c>
      <c r="AZ260" s="179">
        <v>19741420466.539284</v>
      </c>
      <c r="BA260" s="179">
        <v>23797773024.399231</v>
      </c>
      <c r="BB260" s="179">
        <v>31119603033.989124</v>
      </c>
      <c r="BC260" s="179">
        <v>32708318594.409977</v>
      </c>
      <c r="BD260" s="179">
        <v>41950361211.958061</v>
      </c>
      <c r="BE260" s="179">
        <v>50342405198.245766</v>
      </c>
      <c r="BF260" s="179">
        <v>54232266358.781075</v>
      </c>
      <c r="BG260" s="179">
        <v>61337620935.530479</v>
      </c>
      <c r="BH260" s="179">
        <v>61496186973.901993</v>
      </c>
      <c r="BI260" s="179">
        <v>57680328702.241035</v>
      </c>
      <c r="BJ260" s="179">
        <v>57480788380.312042</v>
      </c>
      <c r="BK260" s="179">
        <v>65006047680.322495</v>
      </c>
      <c r="BL260" s="179">
        <v>65203071110.603699</v>
      </c>
      <c r="BM260" s="179">
        <v>62048585618.504982</v>
      </c>
      <c r="BN260" s="179">
        <v>53666908479.55851</v>
      </c>
      <c r="BO260" s="179">
        <v>61412268248.946121</v>
      </c>
      <c r="BP260" s="179">
        <v>71177146197.495117</v>
      </c>
    </row>
    <row r="261" spans="1:68">
      <c r="A261" s="179" t="s">
        <v>966</v>
      </c>
      <c r="B261" s="179">
        <f t="shared" ref="B261:B270" si="4">COUNTIF($E$273:$E$393,A261)</f>
        <v>1</v>
      </c>
      <c r="C261" s="179" t="s">
        <v>967</v>
      </c>
      <c r="D261" s="179" t="s">
        <v>494</v>
      </c>
      <c r="E261" s="179" t="s">
        <v>495</v>
      </c>
      <c r="AJ261" s="179">
        <v>13360607990.675097</v>
      </c>
      <c r="AK261" s="179">
        <v>13677622222.222223</v>
      </c>
      <c r="AL261" s="179">
        <v>12941297376.093296</v>
      </c>
      <c r="AM261" s="179">
        <v>13099013835.511147</v>
      </c>
      <c r="AN261" s="179">
        <v>12899156990.615555</v>
      </c>
      <c r="AO261" s="179">
        <v>13350468917.411453</v>
      </c>
      <c r="AP261" s="179">
        <v>13948892215.568863</v>
      </c>
      <c r="AQ261" s="179">
        <v>14744603773.584906</v>
      </c>
      <c r="AR261" s="179">
        <v>14988971210.838272</v>
      </c>
      <c r="AS261" s="179">
        <v>17078465982.028242</v>
      </c>
      <c r="AT261" s="179">
        <v>13760513969.314003</v>
      </c>
      <c r="AU261" s="179">
        <v>11401421329.197435</v>
      </c>
      <c r="AV261" s="179">
        <v>9687788512.8018417</v>
      </c>
      <c r="AW261" s="179">
        <v>10134453435.460291</v>
      </c>
      <c r="AX261" s="179">
        <v>12030023547.88069</v>
      </c>
      <c r="AY261" s="179">
        <v>14307509838.805326</v>
      </c>
      <c r="AZ261" s="179">
        <v>17330833852.918976</v>
      </c>
      <c r="BA261" s="179">
        <v>22311393927.881721</v>
      </c>
      <c r="BB261" s="179">
        <v>29549438883.83379</v>
      </c>
      <c r="BC261" s="179">
        <v>33689223673.257736</v>
      </c>
      <c r="BD261" s="179">
        <v>49765676402.449455</v>
      </c>
      <c r="BE261" s="179">
        <v>60178909297.208008</v>
      </c>
      <c r="BF261" s="179">
        <v>67517349212.060921</v>
      </c>
      <c r="BG261" s="179">
        <v>73180037913.032532</v>
      </c>
      <c r="BH261" s="179">
        <v>80845385816.206192</v>
      </c>
      <c r="BI261" s="179">
        <v>86196264741.942322</v>
      </c>
      <c r="BJ261" s="179">
        <v>86138288633.224091</v>
      </c>
      <c r="BK261" s="179">
        <v>62081322741.12281</v>
      </c>
      <c r="BL261" s="179">
        <v>52870108217.56263</v>
      </c>
      <c r="BM261" s="179">
        <v>60283503705.390671</v>
      </c>
      <c r="BN261" s="179">
        <v>60224701295.798332</v>
      </c>
      <c r="BO261" s="179">
        <v>69600614988.603882</v>
      </c>
      <c r="BP261" s="179">
        <v>80391853884.763992</v>
      </c>
    </row>
    <row r="262" spans="1:68">
      <c r="A262" s="179" t="s">
        <v>978</v>
      </c>
      <c r="B262" s="179">
        <f t="shared" si="4"/>
        <v>0</v>
      </c>
      <c r="C262" s="179" t="s">
        <v>979</v>
      </c>
      <c r="D262" s="179" t="s">
        <v>494</v>
      </c>
      <c r="E262" s="179" t="s">
        <v>495</v>
      </c>
      <c r="Y262" s="179">
        <v>119258835.3355246</v>
      </c>
      <c r="Z262" s="179">
        <v>121185497.5692614</v>
      </c>
      <c r="AA262" s="179">
        <v>113781795.82356022</v>
      </c>
      <c r="AB262" s="179">
        <v>114501912.52286713</v>
      </c>
      <c r="AC262" s="179">
        <v>117389554.19140585</v>
      </c>
      <c r="AD262" s="179">
        <v>144482515.36833617</v>
      </c>
      <c r="AE262" s="179">
        <v>131856420.70318395</v>
      </c>
      <c r="AF262" s="179">
        <v>126498935.33564945</v>
      </c>
      <c r="AG262" s="179">
        <v>139464173.54732406</v>
      </c>
      <c r="AH262" s="179">
        <v>158351368.43314883</v>
      </c>
      <c r="AI262" s="179">
        <v>154013202.11647508</v>
      </c>
      <c r="AJ262" s="179">
        <v>168879207.24414828</v>
      </c>
      <c r="AK262" s="179">
        <v>201334169.05444124</v>
      </c>
      <c r="AL262" s="179">
        <v>209088824.60843799</v>
      </c>
      <c r="AM262" s="179">
        <v>200491853.16784695</v>
      </c>
      <c r="AN262" s="179">
        <v>233701301.49048579</v>
      </c>
      <c r="AO262" s="179">
        <v>249333250.08250749</v>
      </c>
      <c r="AP262" s="179">
        <v>261370044.48661375</v>
      </c>
      <c r="AQ262" s="179">
        <v>272771209.11366183</v>
      </c>
      <c r="AR262" s="179">
        <v>262293410.70833415</v>
      </c>
      <c r="AS262" s="179">
        <v>268006972.69029635</v>
      </c>
      <c r="AT262" s="179">
        <v>272014627.17651969</v>
      </c>
      <c r="AU262" s="179">
        <v>257926881.72043011</v>
      </c>
      <c r="AV262" s="179">
        <v>262596534.92019841</v>
      </c>
      <c r="AW262" s="179">
        <v>314471413.85965663</v>
      </c>
      <c r="AX262" s="179">
        <v>364996869.12961799</v>
      </c>
      <c r="AY262" s="179">
        <v>394962431.82425082</v>
      </c>
      <c r="AZ262" s="179">
        <v>439358585.21191072</v>
      </c>
      <c r="BA262" s="179">
        <v>516392922.5137279</v>
      </c>
      <c r="BB262" s="179">
        <v>590748431.34513497</v>
      </c>
      <c r="BC262" s="179">
        <v>592622317.29500771</v>
      </c>
      <c r="BD262" s="179">
        <v>670712977.37494326</v>
      </c>
      <c r="BE262" s="179">
        <v>770153591.0881772</v>
      </c>
      <c r="BF262" s="179">
        <v>747839697.74659288</v>
      </c>
      <c r="BG262" s="179">
        <v>758304466.24533939</v>
      </c>
      <c r="BH262" s="179">
        <v>772315986.47047687</v>
      </c>
      <c r="BI262" s="179">
        <v>730870805.20234966</v>
      </c>
      <c r="BJ262" s="179">
        <v>780889605.89997697</v>
      </c>
      <c r="BK262" s="179">
        <v>880061830.96958959</v>
      </c>
      <c r="BL262" s="179">
        <v>914736985.43094444</v>
      </c>
      <c r="BM262" s="179">
        <v>936526267.62251318</v>
      </c>
      <c r="BN262" s="179">
        <v>909421043.508407</v>
      </c>
      <c r="BO262" s="179">
        <v>971636097.85066581</v>
      </c>
      <c r="BP262" s="179">
        <v>983582864.56079626</v>
      </c>
    </row>
    <row r="263" spans="1:68">
      <c r="A263" s="179" t="s">
        <v>970</v>
      </c>
      <c r="B263" s="179">
        <f t="shared" si="4"/>
        <v>0</v>
      </c>
      <c r="C263" s="179" t="s">
        <v>971</v>
      </c>
      <c r="D263" s="179" t="s">
        <v>494</v>
      </c>
      <c r="E263" s="179" t="s">
        <v>495</v>
      </c>
      <c r="F263" s="179">
        <v>7663938303.0717154</v>
      </c>
      <c r="G263" s="179">
        <v>8067267030.6186256</v>
      </c>
      <c r="H263" s="179">
        <v>8814309884.211647</v>
      </c>
      <c r="I263" s="179">
        <v>9608717288.1705704</v>
      </c>
      <c r="J263" s="179">
        <v>8192413793.1034489</v>
      </c>
      <c r="K263" s="179">
        <v>8427777777.7777786</v>
      </c>
      <c r="L263" s="179">
        <v>8781333333.333334</v>
      </c>
      <c r="M263" s="179">
        <v>9250000000</v>
      </c>
      <c r="N263" s="179">
        <v>10034444444.444445</v>
      </c>
      <c r="O263" s="179">
        <v>10285111111.111113</v>
      </c>
      <c r="P263" s="179">
        <v>11561111111.111113</v>
      </c>
      <c r="Q263" s="179">
        <v>12986590909.090908</v>
      </c>
      <c r="R263" s="179">
        <v>13977727272.727272</v>
      </c>
      <c r="S263" s="179">
        <v>17035581395.348837</v>
      </c>
      <c r="T263" s="179">
        <v>26100930232.55814</v>
      </c>
      <c r="U263" s="179">
        <v>27464651162.790699</v>
      </c>
      <c r="V263" s="179">
        <v>31419534883.720932</v>
      </c>
      <c r="W263" s="179">
        <v>36210697674.418602</v>
      </c>
      <c r="X263" s="179">
        <v>39316279069.767441</v>
      </c>
      <c r="Y263" s="179">
        <v>48310930232.558136</v>
      </c>
      <c r="Z263" s="179">
        <v>59116511627.906975</v>
      </c>
      <c r="AA263" s="179">
        <v>66327441860.465118</v>
      </c>
      <c r="AB263" s="179">
        <v>67736744186.046509</v>
      </c>
      <c r="AC263" s="179">
        <v>67556279069.767441</v>
      </c>
      <c r="AD263" s="179">
        <v>59867743467.933464</v>
      </c>
      <c r="AE263" s="179">
        <v>61965466666.666672</v>
      </c>
      <c r="AF263" s="179">
        <v>60516123711.340233</v>
      </c>
      <c r="AG263" s="179">
        <v>48029034482.758621</v>
      </c>
      <c r="AH263" s="179">
        <v>60226413793.103447</v>
      </c>
      <c r="AI263" s="179">
        <v>43536709104.01149</v>
      </c>
      <c r="AJ263" s="179">
        <v>48606952194.775154</v>
      </c>
      <c r="AK263" s="179">
        <v>53453444786.625603</v>
      </c>
      <c r="AL263" s="179">
        <v>60416519619.790428</v>
      </c>
      <c r="AM263" s="179">
        <v>60037460783.414345</v>
      </c>
      <c r="AN263" s="179">
        <v>58418666666.666672</v>
      </c>
      <c r="AO263" s="179">
        <v>77389487771.546906</v>
      </c>
      <c r="AP263" s="179">
        <v>70543211119.098969</v>
      </c>
      <c r="AQ263" s="179">
        <v>85837678559.246948</v>
      </c>
      <c r="AR263" s="179">
        <v>91336763255.615707</v>
      </c>
      <c r="AS263" s="179">
        <v>97972842461.513077</v>
      </c>
      <c r="AT263" s="179">
        <v>117146466003.23538</v>
      </c>
      <c r="AU263" s="179">
        <v>122911036746.16251</v>
      </c>
      <c r="AV263" s="179">
        <v>92893587733.654922</v>
      </c>
      <c r="AW263" s="179">
        <v>83620628582.108154</v>
      </c>
      <c r="AX263" s="179">
        <v>112451400422.98222</v>
      </c>
      <c r="AY263" s="179">
        <v>145513489651.87222</v>
      </c>
      <c r="AZ263" s="179">
        <v>183477522123.89383</v>
      </c>
      <c r="BA263" s="179">
        <v>230364012575.68701</v>
      </c>
      <c r="BB263" s="179">
        <v>315953388510.67798</v>
      </c>
      <c r="BC263" s="179">
        <v>329787628928.4715</v>
      </c>
      <c r="BD263" s="179">
        <v>393192354510.65308</v>
      </c>
      <c r="BE263" s="179">
        <v>316482190800.36371</v>
      </c>
      <c r="BF263" s="179">
        <v>381286237847.66748</v>
      </c>
      <c r="BG263" s="179">
        <v>371005379786.56622</v>
      </c>
      <c r="BH263" s="179">
        <v>482359318767.70312</v>
      </c>
    </row>
    <row r="264" spans="1:68">
      <c r="A264" s="179" t="s">
        <v>976</v>
      </c>
      <c r="B264" s="179">
        <f t="shared" si="4"/>
        <v>0</v>
      </c>
      <c r="C264" s="179" t="s">
        <v>977</v>
      </c>
      <c r="D264" s="179" t="s">
        <v>494</v>
      </c>
      <c r="E264" s="179" t="s">
        <v>495</v>
      </c>
      <c r="AE264" s="179">
        <v>14094687820.744488</v>
      </c>
      <c r="AF264" s="179">
        <v>26336616250.439678</v>
      </c>
      <c r="AG264" s="179">
        <v>36658108850.31485</v>
      </c>
      <c r="AH264" s="179">
        <v>25423812648.594105</v>
      </c>
      <c r="AI264" s="179">
        <v>6293304974.5940266</v>
      </c>
      <c r="AJ264" s="179">
        <v>6471740805.5698404</v>
      </c>
      <c r="AK264" s="179">
        <v>9613369520.4188499</v>
      </c>
      <c r="AL264" s="179">
        <v>9866990236.4358749</v>
      </c>
      <c r="AM264" s="179">
        <v>13180953598.171595</v>
      </c>
      <c r="AN264" s="179">
        <v>16286433533.322754</v>
      </c>
      <c r="AO264" s="179">
        <v>20736164458.950462</v>
      </c>
      <c r="AP264" s="179">
        <v>24657470574.750126</v>
      </c>
      <c r="AQ264" s="179">
        <v>26843700441.548199</v>
      </c>
      <c r="AR264" s="179">
        <v>27209602050.045223</v>
      </c>
      <c r="AS264" s="179">
        <v>28683659006.775219</v>
      </c>
      <c r="AT264" s="179">
        <v>31172518403.316227</v>
      </c>
      <c r="AU264" s="179">
        <v>32685198809.29467</v>
      </c>
      <c r="AV264" s="179">
        <v>35064105500.83445</v>
      </c>
      <c r="AW264" s="179">
        <v>39552513231.066902</v>
      </c>
      <c r="AX264" s="179">
        <v>45427854693.255432</v>
      </c>
      <c r="AY264" s="179">
        <v>57633255739.410408</v>
      </c>
      <c r="AZ264" s="179">
        <v>66371664817.043625</v>
      </c>
      <c r="BA264" s="179">
        <v>77414425532.245163</v>
      </c>
      <c r="BB264" s="179">
        <v>99130304099.127426</v>
      </c>
      <c r="BC264" s="179">
        <v>106014659563.14328</v>
      </c>
      <c r="BD264" s="179">
        <v>147201164066.17242</v>
      </c>
      <c r="BE264" s="179">
        <v>172595034069.16223</v>
      </c>
      <c r="BF264" s="179">
        <v>195590647205.68466</v>
      </c>
      <c r="BG264" s="179">
        <v>213708830776.9472</v>
      </c>
      <c r="BH264" s="179">
        <v>233451484773.97391</v>
      </c>
      <c r="BI264" s="179">
        <v>239258340825.53262</v>
      </c>
      <c r="BJ264" s="179">
        <v>257096001174.07529</v>
      </c>
      <c r="BK264" s="179">
        <v>281353626107.24457</v>
      </c>
      <c r="BL264" s="179">
        <v>310106472642.96826</v>
      </c>
      <c r="BM264" s="179">
        <v>334365257920.28882</v>
      </c>
      <c r="BN264" s="179">
        <v>346615750166.55322</v>
      </c>
      <c r="BO264" s="179">
        <v>366137590717.80438</v>
      </c>
      <c r="BP264" s="179">
        <v>408802379068.22858</v>
      </c>
    </row>
    <row r="265" spans="1:68">
      <c r="A265" s="179" t="s">
        <v>974</v>
      </c>
      <c r="B265" s="179">
        <f t="shared" si="4"/>
        <v>0</v>
      </c>
      <c r="C265" s="179" t="s">
        <v>975</v>
      </c>
      <c r="D265" s="179" t="s">
        <v>494</v>
      </c>
      <c r="E265" s="179" t="s">
        <v>495</v>
      </c>
      <c r="AV265" s="179">
        <v>3262000000</v>
      </c>
      <c r="AW265" s="179">
        <v>3443000000</v>
      </c>
      <c r="AX265" s="179">
        <v>3797000000</v>
      </c>
      <c r="AY265" s="179">
        <v>4428000000</v>
      </c>
      <c r="AZ265" s="179">
        <v>4484000000</v>
      </c>
      <c r="BA265" s="179">
        <v>4784000000</v>
      </c>
      <c r="BB265" s="179">
        <v>4244000000</v>
      </c>
      <c r="BC265" s="179">
        <v>4201000000</v>
      </c>
      <c r="BD265" s="179">
        <v>4324000000</v>
      </c>
      <c r="BE265" s="179">
        <v>4223000000</v>
      </c>
      <c r="BF265" s="179">
        <v>4089000000</v>
      </c>
      <c r="BG265" s="179">
        <v>3738000000</v>
      </c>
      <c r="BH265" s="179">
        <v>3565000000</v>
      </c>
      <c r="BI265" s="179">
        <v>3663000000</v>
      </c>
      <c r="BJ265" s="179">
        <v>3798000000</v>
      </c>
      <c r="BK265" s="179">
        <v>3794000000</v>
      </c>
      <c r="BL265" s="179">
        <v>3922000000</v>
      </c>
      <c r="BM265" s="179">
        <v>4117000000</v>
      </c>
      <c r="BN265" s="179">
        <v>4204000000</v>
      </c>
    </row>
    <row r="266" spans="1:68">
      <c r="A266" s="179" t="s">
        <v>861</v>
      </c>
      <c r="B266" s="179">
        <f t="shared" si="4"/>
        <v>0</v>
      </c>
      <c r="C266" s="179" t="s">
        <v>862</v>
      </c>
      <c r="D266" s="179" t="s">
        <v>494</v>
      </c>
      <c r="E266" s="179" t="s">
        <v>495</v>
      </c>
      <c r="AN266" s="179">
        <v>2843300000</v>
      </c>
      <c r="AO266" s="179">
        <v>3282800000</v>
      </c>
      <c r="AP266" s="179">
        <v>3409600000</v>
      </c>
      <c r="AQ266" s="179">
        <v>3759800000</v>
      </c>
      <c r="AR266" s="179">
        <v>4067800000</v>
      </c>
      <c r="AS266" s="179">
        <v>4271200000</v>
      </c>
      <c r="AT266" s="179">
        <v>4313600000</v>
      </c>
      <c r="AU266" s="179">
        <v>4003700000</v>
      </c>
      <c r="AV266" s="179">
        <v>3555800000</v>
      </c>
      <c r="AW266" s="179">
        <v>3968000000</v>
      </c>
      <c r="AX266" s="179">
        <v>4603100000</v>
      </c>
      <c r="AY266" s="179">
        <v>5125700000</v>
      </c>
      <c r="AZ266" s="179">
        <v>5348300000</v>
      </c>
      <c r="BA266" s="179">
        <v>5815700000</v>
      </c>
      <c r="BB266" s="179">
        <v>7310400000</v>
      </c>
      <c r="BC266" s="179">
        <v>8085700000</v>
      </c>
      <c r="BD266" s="179">
        <v>9681500000</v>
      </c>
      <c r="BE266" s="179">
        <v>11186100000</v>
      </c>
      <c r="BF266" s="179">
        <v>12208400000</v>
      </c>
      <c r="BG266" s="179">
        <v>13515500000</v>
      </c>
      <c r="BH266" s="179">
        <v>13989700000</v>
      </c>
      <c r="BI266" s="179">
        <v>13972400000</v>
      </c>
      <c r="BJ266" s="179">
        <v>15405400000</v>
      </c>
      <c r="BK266" s="179">
        <v>16128000000</v>
      </c>
      <c r="BL266" s="179">
        <v>16276600000</v>
      </c>
      <c r="BM266" s="179">
        <v>17133500000</v>
      </c>
      <c r="BN266" s="179">
        <v>15531700000</v>
      </c>
      <c r="BO266" s="179">
        <v>18109000000</v>
      </c>
      <c r="BP266" s="179">
        <v>19111900000</v>
      </c>
    </row>
    <row r="267" spans="1:68">
      <c r="A267" s="179" t="s">
        <v>980</v>
      </c>
      <c r="B267" s="179">
        <f t="shared" si="4"/>
        <v>0</v>
      </c>
      <c r="C267" s="179" t="s">
        <v>981</v>
      </c>
      <c r="D267" s="179" t="s">
        <v>494</v>
      </c>
      <c r="E267" s="179" t="s">
        <v>495</v>
      </c>
      <c r="F267" s="179">
        <v>1384857385930.8203</v>
      </c>
      <c r="G267" s="179">
        <v>1449220624663.5447</v>
      </c>
      <c r="H267" s="179">
        <v>1550815493822.9944</v>
      </c>
      <c r="I267" s="179">
        <v>1671446748430.3997</v>
      </c>
      <c r="J267" s="179">
        <v>1830491675385.554</v>
      </c>
      <c r="K267" s="179">
        <v>1994103484703.3103</v>
      </c>
      <c r="L267" s="179">
        <v>2164118096871.4197</v>
      </c>
      <c r="M267" s="179">
        <v>2302576793880.1382</v>
      </c>
      <c r="N267" s="179">
        <v>2484674455063.3608</v>
      </c>
      <c r="O267" s="179">
        <v>2740499243838.1548</v>
      </c>
      <c r="P267" s="179">
        <v>2997270495500.104</v>
      </c>
      <c r="Q267" s="179">
        <v>3310475491926.6416</v>
      </c>
      <c r="R267" s="179">
        <v>3816822738898.9102</v>
      </c>
      <c r="S267" s="179">
        <v>4657445187869.5703</v>
      </c>
      <c r="T267" s="179">
        <v>5366817636381.2402</v>
      </c>
      <c r="U267" s="179">
        <v>5977972780215.2373</v>
      </c>
      <c r="V267" s="179">
        <v>6498746015379.6523</v>
      </c>
      <c r="W267" s="179">
        <v>7349730997168.2822</v>
      </c>
      <c r="X267" s="179">
        <v>8690496944982.1758</v>
      </c>
      <c r="Y267" s="179">
        <v>10053770929850.002</v>
      </c>
      <c r="Z267" s="179">
        <v>11337132638434.107</v>
      </c>
      <c r="AA267" s="179">
        <v>11728414403391.605</v>
      </c>
      <c r="AB267" s="179">
        <v>11610171959211.814</v>
      </c>
      <c r="AC267" s="179">
        <v>11840481044980.543</v>
      </c>
      <c r="AD267" s="179">
        <v>12311633033275.521</v>
      </c>
      <c r="AE267" s="179">
        <v>12897178603739.484</v>
      </c>
      <c r="AF267" s="179">
        <v>15252515336773.906</v>
      </c>
      <c r="AG267" s="179">
        <v>17372959408471.916</v>
      </c>
      <c r="AH267" s="179">
        <v>19394022898347.004</v>
      </c>
      <c r="AI267" s="179">
        <v>20266663642625.539</v>
      </c>
      <c r="AJ267" s="179">
        <v>22861712031487.859</v>
      </c>
      <c r="AK267" s="179">
        <v>23834453957464.672</v>
      </c>
      <c r="AL267" s="179">
        <v>25484024569814.219</v>
      </c>
      <c r="AM267" s="179">
        <v>25905901713517.004</v>
      </c>
      <c r="AN267" s="179">
        <v>27899567789057.375</v>
      </c>
      <c r="AO267" s="179">
        <v>31051499245623.414</v>
      </c>
      <c r="AP267" s="179">
        <v>31745724938568.625</v>
      </c>
      <c r="AQ267" s="179">
        <v>31629694547537.641</v>
      </c>
      <c r="AR267" s="179">
        <v>31552853706969.656</v>
      </c>
      <c r="AS267" s="179">
        <v>32752012211615.965</v>
      </c>
      <c r="AT267" s="179">
        <v>33845583188359.883</v>
      </c>
      <c r="AU267" s="179">
        <v>33631012546213.137</v>
      </c>
      <c r="AV267" s="179">
        <v>34925116624464.41</v>
      </c>
      <c r="AW267" s="179">
        <v>39161645364740.594</v>
      </c>
      <c r="AX267" s="179">
        <v>44133615904574.906</v>
      </c>
      <c r="AY267" s="179">
        <v>47793587715631.078</v>
      </c>
      <c r="AZ267" s="179">
        <v>51791096256796.492</v>
      </c>
      <c r="BA267" s="179">
        <v>58361096784020.258</v>
      </c>
      <c r="BB267" s="179">
        <v>64135192896903.234</v>
      </c>
      <c r="BC267" s="179">
        <v>60817919586141.281</v>
      </c>
      <c r="BD267" s="179">
        <v>66619781549531.828</v>
      </c>
      <c r="BE267" s="179">
        <v>73881739609759.531</v>
      </c>
      <c r="BF267" s="179">
        <v>75525948524603.453</v>
      </c>
      <c r="BG267" s="179">
        <v>77635152493358.25</v>
      </c>
      <c r="BH267" s="179">
        <v>79756517210011</v>
      </c>
      <c r="BI267" s="179">
        <v>75215062596594.875</v>
      </c>
      <c r="BJ267" s="179">
        <v>76486454870400.437</v>
      </c>
      <c r="BK267" s="179">
        <v>81442048665487.812</v>
      </c>
      <c r="BL267" s="179">
        <v>86502223934428.281</v>
      </c>
      <c r="BM267" s="179">
        <v>87728102156402.891</v>
      </c>
      <c r="BN267" s="179">
        <v>85215150558552.109</v>
      </c>
      <c r="BO267" s="179">
        <v>96882397612409.266</v>
      </c>
      <c r="BP267" s="179">
        <v>100562011134033.95</v>
      </c>
    </row>
    <row r="268" spans="1:68">
      <c r="A268" s="222" t="s">
        <v>1329</v>
      </c>
      <c r="B268" s="179">
        <f t="shared" si="4"/>
        <v>1</v>
      </c>
      <c r="C268" s="179" t="s">
        <v>986</v>
      </c>
      <c r="D268" s="179" t="s">
        <v>494</v>
      </c>
      <c r="E268" s="179" t="s">
        <v>495</v>
      </c>
      <c r="AJ268" s="179">
        <v>5647119229.0076303</v>
      </c>
      <c r="AK268" s="179">
        <v>5930370370.3703699</v>
      </c>
      <c r="AL268" s="179">
        <v>6463649985.0164804</v>
      </c>
      <c r="AM268" s="179">
        <v>5368270614.8467999</v>
      </c>
      <c r="AN268" s="179">
        <v>4167356037.1517</v>
      </c>
      <c r="AO268" s="179">
        <v>4258788725.4499102</v>
      </c>
      <c r="AP268" s="179">
        <v>5785685310.8666801</v>
      </c>
      <c r="AQ268" s="179">
        <v>6838557384.4035702</v>
      </c>
      <c r="AR268" s="179">
        <v>6325141675.8698902</v>
      </c>
      <c r="AS268" s="179">
        <v>7641102523.1508198</v>
      </c>
      <c r="AT268" s="179">
        <v>9652436179.6460495</v>
      </c>
      <c r="AU268" s="179">
        <v>9861560094.7400894</v>
      </c>
      <c r="AV268" s="179">
        <v>10694628091.6726</v>
      </c>
      <c r="AW268" s="179">
        <v>11777966673.3897</v>
      </c>
      <c r="AX268" s="179">
        <v>13872791658.5487</v>
      </c>
      <c r="AY268" s="179">
        <v>16746347681.007401</v>
      </c>
      <c r="AZ268" s="179">
        <v>19061978586.1278</v>
      </c>
      <c r="BA268" s="179">
        <v>21650532264.232201</v>
      </c>
      <c r="BB268" s="179">
        <v>26910855852.192299</v>
      </c>
      <c r="BC268" s="179">
        <v>25130278253.853401</v>
      </c>
      <c r="BD268" s="179">
        <v>30906749533.221001</v>
      </c>
      <c r="BE268" s="179">
        <v>32726417878.390999</v>
      </c>
      <c r="BF268" s="179">
        <v>35401323349.881699</v>
      </c>
      <c r="BG268" s="179">
        <v>40415233436.176697</v>
      </c>
      <c r="BH268" s="179">
        <v>43228585321.327202</v>
      </c>
      <c r="BI268" s="179">
        <v>42444489460.938698</v>
      </c>
      <c r="BJ268" s="179">
        <v>31317824906.435799</v>
      </c>
      <c r="BK268" s="179">
        <v>26842231204.804699</v>
      </c>
      <c r="BL268" s="179">
        <v>21606161066.207401</v>
      </c>
    </row>
    <row r="269" spans="1:68">
      <c r="A269" s="179" t="s">
        <v>989</v>
      </c>
      <c r="B269" s="179">
        <f t="shared" si="4"/>
        <v>1</v>
      </c>
      <c r="C269" s="179" t="s">
        <v>990</v>
      </c>
      <c r="D269" s="179" t="s">
        <v>494</v>
      </c>
      <c r="E269" s="179" t="s">
        <v>495</v>
      </c>
      <c r="F269" s="179">
        <v>713000000</v>
      </c>
      <c r="G269" s="179">
        <v>696285714.28571427</v>
      </c>
      <c r="H269" s="179">
        <v>693142857.14285719</v>
      </c>
      <c r="I269" s="179">
        <v>718714285.71428573</v>
      </c>
      <c r="J269" s="179">
        <v>839428571.42857146</v>
      </c>
      <c r="K269" s="179">
        <v>1082857142.8571429</v>
      </c>
      <c r="L269" s="179">
        <v>1264285714.2857144</v>
      </c>
      <c r="M269" s="179">
        <v>1368000000</v>
      </c>
      <c r="N269" s="179">
        <v>1605857142.8571429</v>
      </c>
      <c r="O269" s="179">
        <v>1965714285.7142859</v>
      </c>
      <c r="P269" s="179">
        <v>1825285714.2857144</v>
      </c>
      <c r="Q269" s="179">
        <v>1687000000</v>
      </c>
      <c r="R269" s="179">
        <v>1872416680.0791199</v>
      </c>
      <c r="S269" s="179">
        <v>2434255236.9993525</v>
      </c>
      <c r="T269" s="179">
        <v>2910981262.1001792</v>
      </c>
      <c r="U269" s="179">
        <v>2442672140.9469957</v>
      </c>
      <c r="V269" s="179">
        <v>2742859262.9794016</v>
      </c>
      <c r="W269" s="179">
        <v>2515296939.6068578</v>
      </c>
      <c r="X269" s="179">
        <v>2811032472.9392161</v>
      </c>
      <c r="Y269" s="179">
        <v>3353445378.1512623</v>
      </c>
      <c r="Z269" s="179">
        <v>3884530853.7616215</v>
      </c>
      <c r="AA269" s="179">
        <v>4008126497.3646398</v>
      </c>
      <c r="AB269" s="179">
        <v>3871117092.8667564</v>
      </c>
      <c r="AC269" s="179">
        <v>3321048451.1517076</v>
      </c>
      <c r="AD269" s="179">
        <v>2719518932.9954066</v>
      </c>
      <c r="AE269" s="179">
        <v>2252454500.1489625</v>
      </c>
      <c r="AF269" s="179">
        <v>1664413508.0985258</v>
      </c>
      <c r="AG269" s="179">
        <v>2265250972.3487902</v>
      </c>
      <c r="AH269" s="179">
        <v>3728878148.8079219</v>
      </c>
      <c r="AI269" s="179">
        <v>3994673161.0264907</v>
      </c>
      <c r="AJ269" s="179">
        <v>3285217391.3043475</v>
      </c>
      <c r="AK269" s="179">
        <v>3376806697.1218047</v>
      </c>
      <c r="AL269" s="179">
        <v>3181921787.7094975</v>
      </c>
      <c r="AM269" s="179">
        <v>3273507753.8784094</v>
      </c>
      <c r="AN269" s="179">
        <v>3656808232.6429539</v>
      </c>
      <c r="AO269" s="179">
        <v>3806982678.893631</v>
      </c>
      <c r="AP269" s="179">
        <v>3597220962.0001655</v>
      </c>
      <c r="AQ269" s="179">
        <v>4303290116.5654554</v>
      </c>
      <c r="AR269" s="179">
        <v>3537741625.2439537</v>
      </c>
      <c r="AS269" s="179">
        <v>3404284652.9358487</v>
      </c>
      <c r="AT269" s="179">
        <v>3600631918.5065751</v>
      </c>
      <c r="AU269" s="179">
        <v>4094441301.2142286</v>
      </c>
      <c r="AV269" s="179">
        <v>4193850445.4263234</v>
      </c>
      <c r="AW269" s="179">
        <v>4901869715.9045687</v>
      </c>
      <c r="AX269" s="179">
        <v>6221109716.39571</v>
      </c>
      <c r="AY269" s="179">
        <v>8331870169.1497707</v>
      </c>
      <c r="AZ269" s="179">
        <v>12756858899.281174</v>
      </c>
      <c r="BA269" s="179">
        <v>14056957976.264833</v>
      </c>
      <c r="BB269" s="179">
        <v>17910858637.904797</v>
      </c>
      <c r="BC269" s="179">
        <v>15328342303.957512</v>
      </c>
      <c r="BD269" s="179">
        <v>20265559483.854828</v>
      </c>
      <c r="BE269" s="179">
        <v>23459515275.577595</v>
      </c>
      <c r="BF269" s="179">
        <v>25503060420.026028</v>
      </c>
      <c r="BG269" s="179">
        <v>28037239462.714218</v>
      </c>
      <c r="BH269" s="179">
        <v>27141023558.082859</v>
      </c>
      <c r="BI269" s="179">
        <v>21251216798.776245</v>
      </c>
      <c r="BJ269" s="179">
        <v>20958412538.309345</v>
      </c>
      <c r="BK269" s="179">
        <v>25873601260.835304</v>
      </c>
      <c r="BL269" s="179">
        <v>26311506435.059845</v>
      </c>
      <c r="BM269" s="179">
        <v>23308667781.225754</v>
      </c>
      <c r="BN269" s="179">
        <v>18110638619.372303</v>
      </c>
      <c r="BO269" s="179">
        <v>22147649568.612148</v>
      </c>
      <c r="BP269" s="179">
        <v>29784454055.939106</v>
      </c>
    </row>
    <row r="270" spans="1:68">
      <c r="A270" s="179" t="s">
        <v>991</v>
      </c>
      <c r="B270" s="179">
        <f t="shared" si="4"/>
        <v>1</v>
      </c>
      <c r="C270" s="179" t="s">
        <v>992</v>
      </c>
      <c r="D270" s="179" t="s">
        <v>494</v>
      </c>
      <c r="E270" s="179" t="s">
        <v>495</v>
      </c>
      <c r="F270" s="179">
        <v>1052990399.9999999</v>
      </c>
      <c r="G270" s="179">
        <v>1096646600</v>
      </c>
      <c r="H270" s="179">
        <v>1117601600</v>
      </c>
      <c r="I270" s="179">
        <v>1159511700</v>
      </c>
      <c r="J270" s="179">
        <v>1217138000</v>
      </c>
      <c r="K270" s="179">
        <v>1311435800</v>
      </c>
      <c r="L270" s="179">
        <v>1281749500</v>
      </c>
      <c r="M270" s="179">
        <v>1397002000</v>
      </c>
      <c r="N270" s="179">
        <v>1479599900</v>
      </c>
      <c r="O270" s="179">
        <v>1747998800</v>
      </c>
      <c r="P270" s="179">
        <v>1884206300</v>
      </c>
      <c r="Q270" s="179">
        <v>2178716300</v>
      </c>
      <c r="R270" s="179">
        <v>2677729400</v>
      </c>
      <c r="S270" s="179">
        <v>3309353600</v>
      </c>
      <c r="T270" s="179">
        <v>3982161400</v>
      </c>
      <c r="U270" s="179">
        <v>4371300700</v>
      </c>
      <c r="V270" s="179">
        <v>4318372000</v>
      </c>
      <c r="W270" s="179">
        <v>4364382100</v>
      </c>
      <c r="X270" s="179">
        <v>4351600500</v>
      </c>
      <c r="Y270" s="179">
        <v>5177459400</v>
      </c>
      <c r="Z270" s="179">
        <v>6678868200</v>
      </c>
      <c r="AA270" s="179">
        <v>8011373800</v>
      </c>
      <c r="AB270" s="179">
        <v>8539700699.999999</v>
      </c>
      <c r="AC270" s="179">
        <v>7764067000</v>
      </c>
      <c r="AD270" s="179">
        <v>6352125900</v>
      </c>
      <c r="AE270" s="179">
        <v>5637259300</v>
      </c>
      <c r="AF270" s="179">
        <v>6217523700</v>
      </c>
      <c r="AG270" s="179">
        <v>6741215100</v>
      </c>
      <c r="AH270" s="179">
        <v>7814784100</v>
      </c>
      <c r="AI270" s="179">
        <v>8286322700.000001</v>
      </c>
      <c r="AJ270" s="179">
        <v>8783816700</v>
      </c>
      <c r="AK270" s="179">
        <v>8641481700</v>
      </c>
      <c r="AL270" s="179">
        <v>6751472200</v>
      </c>
      <c r="AM270" s="179">
        <v>6563813300</v>
      </c>
      <c r="AN270" s="179">
        <v>6890675000</v>
      </c>
      <c r="AO270" s="179">
        <v>7111270700</v>
      </c>
      <c r="AP270" s="179">
        <v>8553146600</v>
      </c>
      <c r="AQ270" s="179">
        <v>8529571599.999999</v>
      </c>
      <c r="AR270" s="179">
        <v>6401968200</v>
      </c>
      <c r="AS270" s="179">
        <v>6858013100</v>
      </c>
      <c r="AT270" s="179">
        <v>6689957600</v>
      </c>
      <c r="AU270" s="179">
        <v>6777384700</v>
      </c>
      <c r="AV270" s="179">
        <v>6342116400</v>
      </c>
      <c r="AW270" s="179">
        <v>5727591800</v>
      </c>
      <c r="AX270" s="179">
        <v>5805598400</v>
      </c>
      <c r="AY270" s="179">
        <v>5755215200</v>
      </c>
      <c r="AZ270" s="179">
        <v>5443896500</v>
      </c>
      <c r="BA270" s="179">
        <v>5291950100</v>
      </c>
      <c r="BB270" s="179">
        <v>4415702800</v>
      </c>
      <c r="BC270" s="179">
        <v>9665793300</v>
      </c>
      <c r="BD270" s="179">
        <v>12041655200</v>
      </c>
      <c r="BE270" s="179">
        <v>14101920300</v>
      </c>
      <c r="BF270" s="179">
        <v>17114849900.000002</v>
      </c>
      <c r="BG270" s="179">
        <v>19091020000</v>
      </c>
      <c r="BH270" s="179">
        <v>19495519600</v>
      </c>
      <c r="BI270" s="179">
        <v>19963120600</v>
      </c>
      <c r="BJ270" s="179">
        <v>20548678100</v>
      </c>
      <c r="BK270" s="179">
        <v>17584890936.652306</v>
      </c>
      <c r="BL270" s="179">
        <v>34156069918.06094</v>
      </c>
      <c r="BM270" s="179">
        <v>21832234925.50214</v>
      </c>
      <c r="BN270" s="179">
        <v>21509698406.111595</v>
      </c>
      <c r="BO270" s="179">
        <v>28371238665.511635</v>
      </c>
      <c r="BP270" s="179">
        <v>20678055597.734528</v>
      </c>
    </row>
    <row r="272" spans="1:68">
      <c r="I272" s="179">
        <f>SUM(I273:I389)</f>
        <v>31459086725686.648</v>
      </c>
    </row>
    <row r="273" spans="1:9">
      <c r="A273" t="s">
        <v>1178</v>
      </c>
      <c r="B273"/>
      <c r="C273" s="179" t="str">
        <f t="shared" ref="C273:C304" si="5">A273</f>
        <v> Belarus</v>
      </c>
      <c r="D273" s="222" t="s">
        <v>1116</v>
      </c>
      <c r="E273" s="179" t="s">
        <v>543</v>
      </c>
      <c r="F273" s="179">
        <f>COUNTIF($A$4:$A$270,E273)</f>
        <v>1</v>
      </c>
      <c r="I273" s="179">
        <v>18882095517.876831</v>
      </c>
    </row>
    <row r="274" spans="1:9">
      <c r="A274" t="s">
        <v>1179</v>
      </c>
      <c r="B274"/>
      <c r="C274" s="179" t="str">
        <f t="shared" si="5"/>
        <v> Bulgaria</v>
      </c>
      <c r="D274" s="179" t="s">
        <v>1106</v>
      </c>
      <c r="E274" s="179" t="s">
        <v>535</v>
      </c>
      <c r="F274" s="179">
        <f t="shared" ref="F274:F337" si="6">COUNTIF($A$4:$A$270,E274)</f>
        <v>1</v>
      </c>
      <c r="I274" s="179">
        <v>191912889420.91083</v>
      </c>
    </row>
    <row r="275" spans="1:9">
      <c r="A275" t="s">
        <v>1180</v>
      </c>
      <c r="B275"/>
      <c r="C275" s="179" t="str">
        <f t="shared" si="5"/>
        <v> Czech Republic</v>
      </c>
      <c r="D275" s="179" t="s">
        <v>1297</v>
      </c>
      <c r="E275" s="179" t="s">
        <v>1321</v>
      </c>
      <c r="F275" s="179">
        <f t="shared" si="6"/>
        <v>1</v>
      </c>
      <c r="I275" s="179">
        <v>106713618735.43364</v>
      </c>
    </row>
    <row r="276" spans="1:9">
      <c r="A276" t="s">
        <v>1181</v>
      </c>
      <c r="B276"/>
      <c r="C276" s="179" t="str">
        <f t="shared" si="5"/>
        <v> Estonia</v>
      </c>
      <c r="D276" s="179" t="s">
        <v>1101</v>
      </c>
      <c r="E276" s="179" t="s">
        <v>623</v>
      </c>
      <c r="F276" s="179">
        <f t="shared" si="6"/>
        <v>1</v>
      </c>
      <c r="I276" s="179">
        <v>19502783987.880733</v>
      </c>
    </row>
    <row r="277" spans="1:9">
      <c r="A277" t="s">
        <v>1182</v>
      </c>
      <c r="B277"/>
      <c r="C277" s="179" t="str">
        <f t="shared" si="5"/>
        <v> Georgia</v>
      </c>
      <c r="D277" s="179" t="s">
        <v>1066</v>
      </c>
      <c r="E277" s="179" t="s">
        <v>643</v>
      </c>
      <c r="F277" s="179">
        <f t="shared" si="6"/>
        <v>1</v>
      </c>
      <c r="I277" s="179">
        <v>471400066091.24695</v>
      </c>
    </row>
    <row r="278" spans="1:9">
      <c r="A278" t="s">
        <v>1183</v>
      </c>
      <c r="B278"/>
      <c r="C278" s="179" t="str">
        <f t="shared" si="5"/>
        <v> Hungary</v>
      </c>
      <c r="D278" s="179" t="s">
        <v>1102</v>
      </c>
      <c r="E278" s="179" t="s">
        <v>680</v>
      </c>
      <c r="F278" s="179">
        <f t="shared" si="6"/>
        <v>1</v>
      </c>
      <c r="I278" s="179">
        <v>78721058823.529404</v>
      </c>
    </row>
    <row r="279" spans="1:9">
      <c r="A279" t="s">
        <v>1184</v>
      </c>
      <c r="B279"/>
      <c r="C279" s="179" t="str">
        <f t="shared" si="5"/>
        <v> Latvia</v>
      </c>
      <c r="D279" s="179" t="s">
        <v>1093</v>
      </c>
      <c r="E279" s="179" t="s">
        <v>762</v>
      </c>
      <c r="F279" s="179">
        <f t="shared" si="6"/>
        <v>1</v>
      </c>
      <c r="I279" s="179">
        <v>44390820478.723396</v>
      </c>
    </row>
    <row r="280" spans="1:9">
      <c r="A280" t="s">
        <v>1185</v>
      </c>
      <c r="B280"/>
      <c r="C280" s="179" t="str">
        <f t="shared" si="5"/>
        <v> Lithuania</v>
      </c>
      <c r="D280" s="179" t="s">
        <v>1114</v>
      </c>
      <c r="E280" s="179" t="s">
        <v>759</v>
      </c>
      <c r="F280" s="179">
        <f t="shared" si="6"/>
        <v>1</v>
      </c>
      <c r="I280" s="179">
        <v>72793457588.436661</v>
      </c>
    </row>
    <row r="281" spans="1:9">
      <c r="A281" t="s">
        <v>1186</v>
      </c>
      <c r="B281"/>
      <c r="C281" s="179" t="str">
        <f t="shared" si="5"/>
        <v> Moldova</v>
      </c>
      <c r="D281" s="179" t="s">
        <v>1119</v>
      </c>
      <c r="E281" s="179" t="s">
        <v>772</v>
      </c>
      <c r="F281" s="179">
        <f t="shared" si="6"/>
        <v>1</v>
      </c>
      <c r="I281" s="179">
        <v>578604103123.34851</v>
      </c>
    </row>
    <row r="282" spans="1:9">
      <c r="A282" t="s">
        <v>1187</v>
      </c>
      <c r="B282"/>
      <c r="C282" s="179" t="str">
        <f t="shared" si="5"/>
        <v> Poland</v>
      </c>
      <c r="D282" s="179" t="s">
        <v>1104</v>
      </c>
      <c r="E282" s="179" t="s">
        <v>850</v>
      </c>
      <c r="F282" s="179">
        <f t="shared" si="6"/>
        <v>1</v>
      </c>
      <c r="I282" s="179">
        <v>17401746309.265961</v>
      </c>
    </row>
    <row r="283" spans="1:9">
      <c r="A283" t="s">
        <v>1188</v>
      </c>
      <c r="B283"/>
      <c r="C283" s="179" t="str">
        <f t="shared" si="5"/>
        <v> Romania</v>
      </c>
      <c r="D283" s="179" t="s">
        <v>1109</v>
      </c>
      <c r="E283" s="179" t="s">
        <v>871</v>
      </c>
      <c r="F283" s="179">
        <f t="shared" si="6"/>
        <v>1</v>
      </c>
      <c r="I283" s="179">
        <v>24527507287.796188</v>
      </c>
    </row>
    <row r="284" spans="1:9">
      <c r="A284" t="s">
        <v>1189</v>
      </c>
      <c r="B284"/>
      <c r="C284" s="179" t="str">
        <f t="shared" si="5"/>
        <v> Russia</v>
      </c>
      <c r="D284" s="179" t="s">
        <v>1298</v>
      </c>
      <c r="E284" s="179" t="s">
        <v>83</v>
      </c>
      <c r="F284" s="179">
        <f t="shared" si="6"/>
        <v>1</v>
      </c>
      <c r="I284" s="179">
        <v>20352322157.146694</v>
      </c>
    </row>
    <row r="285" spans="1:9">
      <c r="A285" t="s">
        <v>1190</v>
      </c>
      <c r="B285"/>
      <c r="C285" s="179" t="str">
        <f t="shared" si="5"/>
        <v> Slovakia</v>
      </c>
      <c r="D285" s="179" t="s">
        <v>1099</v>
      </c>
      <c r="E285" s="179" t="s">
        <v>1322</v>
      </c>
      <c r="F285" s="179">
        <f t="shared" si="6"/>
        <v>1</v>
      </c>
      <c r="I285" s="179">
        <v>89040398406.374512</v>
      </c>
    </row>
    <row r="286" spans="1:9">
      <c r="A286" t="s">
        <v>1191</v>
      </c>
      <c r="B286"/>
      <c r="C286" s="179" t="str">
        <f t="shared" si="5"/>
        <v> Ukraine</v>
      </c>
      <c r="D286" s="179" t="s">
        <v>1078</v>
      </c>
      <c r="E286" s="179" t="s">
        <v>959</v>
      </c>
      <c r="F286" s="179">
        <f t="shared" si="6"/>
        <v>1</v>
      </c>
      <c r="I286" s="179">
        <v>18884619613.438755</v>
      </c>
    </row>
    <row r="287" spans="1:9">
      <c r="A287" t="s">
        <v>1192</v>
      </c>
      <c r="B287"/>
      <c r="C287" s="179" t="str">
        <f t="shared" si="5"/>
        <v> Armenia</v>
      </c>
      <c r="D287" s="179" t="s">
        <v>1120</v>
      </c>
      <c r="E287" s="179" t="s">
        <v>514</v>
      </c>
      <c r="F287" s="179">
        <f t="shared" si="6"/>
        <v>1</v>
      </c>
      <c r="I287" s="179">
        <v>3073414677.8438549</v>
      </c>
    </row>
    <row r="288" spans="1:9">
      <c r="A288" t="s">
        <v>1193</v>
      </c>
      <c r="B288"/>
      <c r="C288" s="179" t="str">
        <f t="shared" si="5"/>
        <v> Azerbaijan</v>
      </c>
      <c r="D288" s="179" t="s">
        <v>1112</v>
      </c>
      <c r="E288" s="179" t="s">
        <v>523</v>
      </c>
      <c r="F288" s="179">
        <f t="shared" si="6"/>
        <v>1</v>
      </c>
      <c r="I288" s="179">
        <v>2314816792.0629125</v>
      </c>
    </row>
    <row r="289" spans="1:9">
      <c r="A289" t="s">
        <v>1194</v>
      </c>
      <c r="B289"/>
      <c r="C289" s="179" t="str">
        <f t="shared" si="5"/>
        <v> Kazakhstan</v>
      </c>
      <c r="D289" s="179" t="s">
        <v>1096</v>
      </c>
      <c r="E289" s="179" t="s">
        <v>715</v>
      </c>
      <c r="F289" s="179">
        <f t="shared" si="6"/>
        <v>1</v>
      </c>
      <c r="I289" s="179">
        <v>44341646509.219322</v>
      </c>
    </row>
    <row r="290" spans="1:9">
      <c r="A290" t="s">
        <v>1195</v>
      </c>
      <c r="B290"/>
      <c r="C290" s="179" t="str">
        <f t="shared" si="5"/>
        <v> Kyrgyzstan</v>
      </c>
      <c r="D290" s="179" t="s">
        <v>1092</v>
      </c>
      <c r="E290" s="222" t="s">
        <v>1323</v>
      </c>
      <c r="F290" s="179">
        <f t="shared" si="6"/>
        <v>1</v>
      </c>
      <c r="I290" s="179">
        <v>2382618615.3562036</v>
      </c>
    </row>
    <row r="291" spans="1:9">
      <c r="A291" t="s">
        <v>1196</v>
      </c>
      <c r="B291"/>
      <c r="C291" s="179" t="str">
        <f t="shared" si="5"/>
        <v> Tajikistan</v>
      </c>
      <c r="D291" s="179" t="s">
        <v>1105</v>
      </c>
      <c r="E291" s="179" t="s">
        <v>932</v>
      </c>
      <c r="F291" s="179">
        <f t="shared" si="6"/>
        <v>1</v>
      </c>
      <c r="I291" s="179">
        <v>12704149842.037258</v>
      </c>
    </row>
    <row r="292" spans="1:9">
      <c r="A292" t="s">
        <v>1197</v>
      </c>
      <c r="B292"/>
      <c r="C292" s="179" t="str">
        <f t="shared" si="5"/>
        <v> Turkmenistan</v>
      </c>
      <c r="D292" s="179" t="s">
        <v>1299</v>
      </c>
      <c r="E292" s="179" t="s">
        <v>934</v>
      </c>
      <c r="F292" s="179">
        <f t="shared" si="6"/>
        <v>1</v>
      </c>
      <c r="I292" s="179">
        <v>1242519407.2782135</v>
      </c>
    </row>
    <row r="293" spans="1:9">
      <c r="A293" t="s">
        <v>1198</v>
      </c>
      <c r="B293"/>
      <c r="C293" s="179" t="str">
        <f t="shared" si="5"/>
        <v> Uzbekistan</v>
      </c>
      <c r="D293" s="179" t="s">
        <v>1125</v>
      </c>
      <c r="E293" s="179" t="s">
        <v>966</v>
      </c>
      <c r="F293" s="179">
        <f t="shared" si="6"/>
        <v>1</v>
      </c>
      <c r="I293" s="179">
        <v>58065953573.324669</v>
      </c>
    </row>
    <row r="294" spans="1:9">
      <c r="A294" t="s">
        <v>1199</v>
      </c>
      <c r="B294"/>
      <c r="C294" s="179" t="str">
        <f t="shared" si="5"/>
        <v> Denmark</v>
      </c>
      <c r="D294" s="179" t="s">
        <v>1144</v>
      </c>
      <c r="E294" s="179" t="s">
        <v>599</v>
      </c>
      <c r="F294" s="179">
        <f t="shared" si="6"/>
        <v>1</v>
      </c>
      <c r="I294" s="179">
        <v>14615532210.052349</v>
      </c>
    </row>
    <row r="295" spans="1:9">
      <c r="A295" t="s">
        <v>1200</v>
      </c>
      <c r="B295"/>
      <c r="C295" s="179" t="str">
        <f t="shared" si="5"/>
        <v> Finland</v>
      </c>
      <c r="D295" s="179" t="s">
        <v>1108</v>
      </c>
      <c r="E295" s="179" t="s">
        <v>631</v>
      </c>
      <c r="F295" s="179">
        <f t="shared" si="6"/>
        <v>1</v>
      </c>
      <c r="I295" s="179">
        <v>70018715016.696671</v>
      </c>
    </row>
    <row r="296" spans="1:9">
      <c r="A296" t="s">
        <v>1201</v>
      </c>
      <c r="B296"/>
      <c r="C296" s="179" t="str">
        <f t="shared" si="5"/>
        <v> Iceland</v>
      </c>
      <c r="D296" s="179" t="s">
        <v>1146</v>
      </c>
      <c r="E296" s="179" t="s">
        <v>704</v>
      </c>
      <c r="F296" s="179">
        <f t="shared" si="6"/>
        <v>1</v>
      </c>
      <c r="I296" s="179">
        <v>70964606464.642715</v>
      </c>
    </row>
    <row r="297" spans="1:9">
      <c r="A297" t="s">
        <v>1202</v>
      </c>
      <c r="B297"/>
      <c r="C297" s="179" t="str">
        <f t="shared" si="5"/>
        <v> Ireland</v>
      </c>
      <c r="D297" s="179" t="s">
        <v>1158</v>
      </c>
      <c r="E297" s="179" t="s">
        <v>85</v>
      </c>
      <c r="F297" s="179">
        <f t="shared" si="6"/>
        <v>1</v>
      </c>
      <c r="I297" s="179">
        <v>28439052740.85614</v>
      </c>
    </row>
    <row r="298" spans="1:9">
      <c r="A298" t="s">
        <v>1203</v>
      </c>
      <c r="B298"/>
      <c r="C298" s="179" t="str">
        <f t="shared" si="5"/>
        <v> Norway</v>
      </c>
      <c r="D298" s="179" t="s">
        <v>1135</v>
      </c>
      <c r="E298" s="179" t="s">
        <v>824</v>
      </c>
      <c r="F298" s="179">
        <f t="shared" si="6"/>
        <v>1</v>
      </c>
      <c r="I298" s="179">
        <v>290923534700.51807</v>
      </c>
    </row>
    <row r="299" spans="1:9">
      <c r="A299" t="s">
        <v>1204</v>
      </c>
      <c r="B299"/>
      <c r="C299" s="179" t="str">
        <f t="shared" si="5"/>
        <v> Sweden</v>
      </c>
      <c r="D299" s="179" t="s">
        <v>1147</v>
      </c>
      <c r="E299" s="179" t="s">
        <v>911</v>
      </c>
      <c r="F299" s="179">
        <f t="shared" si="6"/>
        <v>1</v>
      </c>
      <c r="I299" s="179">
        <v>395403906582.00067</v>
      </c>
    </row>
    <row r="300" spans="1:9">
      <c r="A300" t="s">
        <v>1205</v>
      </c>
      <c r="B300"/>
      <c r="C300" s="179" t="str">
        <f t="shared" si="5"/>
        <v> United Kingdom</v>
      </c>
      <c r="D300" s="179" t="s">
        <v>1300</v>
      </c>
      <c r="E300" s="179" t="s">
        <v>81</v>
      </c>
      <c r="F300" s="179">
        <f t="shared" si="6"/>
        <v>1</v>
      </c>
      <c r="I300" s="179">
        <v>3515109075.4609752</v>
      </c>
    </row>
    <row r="301" spans="1:9">
      <c r="A301" t="s">
        <v>1206</v>
      </c>
      <c r="B301"/>
      <c r="C301" s="179" t="str">
        <f t="shared" si="5"/>
        <v> Albania</v>
      </c>
      <c r="D301" s="179" t="s">
        <v>1089</v>
      </c>
      <c r="E301" s="179" t="s">
        <v>504</v>
      </c>
      <c r="F301" s="179">
        <f t="shared" si="6"/>
        <v>1</v>
      </c>
      <c r="I301" s="179">
        <v>476747720364.74164</v>
      </c>
    </row>
    <row r="302" spans="1:9">
      <c r="A302" t="s">
        <v>1207</v>
      </c>
      <c r="B302"/>
      <c r="C302" s="179" t="str">
        <f t="shared" si="5"/>
        <v> Bosnia and Herzegovina</v>
      </c>
      <c r="D302" s="179" t="s">
        <v>1301</v>
      </c>
      <c r="E302" s="179" t="s">
        <v>541</v>
      </c>
      <c r="F302" s="179">
        <f t="shared" si="6"/>
        <v>1</v>
      </c>
      <c r="I302" s="179">
        <v>11813908447.813124</v>
      </c>
    </row>
    <row r="303" spans="1:9">
      <c r="A303" t="s">
        <v>1208</v>
      </c>
      <c r="B303"/>
      <c r="C303" s="179" t="str">
        <f t="shared" si="5"/>
        <v> Croatia</v>
      </c>
      <c r="D303" s="179" t="s">
        <v>1140</v>
      </c>
      <c r="E303" s="179" t="s">
        <v>676</v>
      </c>
      <c r="F303" s="179">
        <f t="shared" si="6"/>
        <v>1</v>
      </c>
    </row>
    <row r="304" spans="1:9">
      <c r="A304" t="s">
        <v>1209</v>
      </c>
      <c r="B304"/>
      <c r="C304" s="179" t="str">
        <f t="shared" si="5"/>
        <v> Cyprus</v>
      </c>
      <c r="D304" s="179" t="s">
        <v>1153</v>
      </c>
      <c r="E304" s="179" t="s">
        <v>591</v>
      </c>
      <c r="F304" s="179">
        <f t="shared" si="6"/>
        <v>1</v>
      </c>
      <c r="I304" s="179">
        <v>38100812958.5196</v>
      </c>
    </row>
    <row r="305" spans="1:9">
      <c r="A305" t="s">
        <v>1210</v>
      </c>
      <c r="B305"/>
      <c r="C305" s="179" t="str">
        <f t="shared" ref="C305:C336" si="7">A305</f>
        <v> France</v>
      </c>
      <c r="D305" s="179" t="s">
        <v>1150</v>
      </c>
      <c r="E305" s="179" t="s">
        <v>82</v>
      </c>
      <c r="F305" s="179">
        <f t="shared" si="6"/>
        <v>1</v>
      </c>
      <c r="I305" s="179">
        <v>4854167638.3738842</v>
      </c>
    </row>
    <row r="306" spans="1:9">
      <c r="A306" t="s">
        <v>1211</v>
      </c>
      <c r="B306"/>
      <c r="C306" s="179" t="str">
        <f t="shared" si="7"/>
        <v> Greece</v>
      </c>
      <c r="D306" s="179" t="s">
        <v>1145</v>
      </c>
      <c r="E306" s="179" t="s">
        <v>656</v>
      </c>
      <c r="F306" s="179">
        <f t="shared" si="6"/>
        <v>1</v>
      </c>
      <c r="I306" s="179">
        <v>126783472501.13449</v>
      </c>
    </row>
    <row r="307" spans="1:9">
      <c r="A307" t="s">
        <v>1212</v>
      </c>
      <c r="B307"/>
      <c r="C307" s="179" t="str">
        <f t="shared" si="7"/>
        <v> Italy</v>
      </c>
      <c r="D307" s="179" t="s">
        <v>1137</v>
      </c>
      <c r="E307" s="179" t="s">
        <v>708</v>
      </c>
      <c r="F307" s="179">
        <f t="shared" si="6"/>
        <v>1</v>
      </c>
      <c r="I307" s="179">
        <v>280825957768.48358</v>
      </c>
    </row>
    <row r="308" spans="1:9">
      <c r="A308" t="s">
        <v>1213</v>
      </c>
      <c r="B308"/>
      <c r="C308" s="179" t="str">
        <f t="shared" si="7"/>
        <v> Kosovo</v>
      </c>
      <c r="D308" s="179" t="s">
        <v>1074</v>
      </c>
      <c r="E308" s="179" t="s">
        <v>984</v>
      </c>
      <c r="F308" s="179">
        <f t="shared" si="6"/>
        <v>1</v>
      </c>
      <c r="I308" s="179">
        <v>2782905325624.5244</v>
      </c>
    </row>
    <row r="309" spans="1:9">
      <c r="A309" t="s">
        <v>1214</v>
      </c>
      <c r="B309"/>
      <c r="C309" s="179" t="str">
        <f t="shared" si="7"/>
        <v> Malta</v>
      </c>
      <c r="D309" s="179" t="s">
        <v>1160</v>
      </c>
      <c r="E309" s="179" t="s">
        <v>407</v>
      </c>
      <c r="F309" s="179">
        <f t="shared" si="6"/>
        <v>1</v>
      </c>
      <c r="I309" s="179">
        <v>21071739227.942764</v>
      </c>
    </row>
    <row r="310" spans="1:9">
      <c r="A310" t="s">
        <v>1215</v>
      </c>
      <c r="B310"/>
      <c r="C310" s="179" t="str">
        <f t="shared" si="7"/>
        <v> Montenegro</v>
      </c>
      <c r="D310" s="179" t="s">
        <v>1126</v>
      </c>
      <c r="E310" s="179" t="s">
        <v>423</v>
      </c>
      <c r="F310" s="179">
        <f t="shared" si="6"/>
        <v>1</v>
      </c>
      <c r="I310" s="179">
        <v>2273060863.1398072</v>
      </c>
    </row>
    <row r="311" spans="1:9">
      <c r="A311" t="s">
        <v>1216</v>
      </c>
      <c r="B311"/>
      <c r="C311" s="179" t="str">
        <f t="shared" si="7"/>
        <v> North Macedonia</v>
      </c>
      <c r="D311" s="179" t="s">
        <v>1084</v>
      </c>
      <c r="E311" s="179" t="s">
        <v>786</v>
      </c>
      <c r="F311" s="179">
        <f t="shared" si="6"/>
        <v>1</v>
      </c>
      <c r="I311" s="179">
        <v>24605375420.067211</v>
      </c>
    </row>
    <row r="312" spans="1:9">
      <c r="A312" t="s">
        <v>1217</v>
      </c>
      <c r="B312"/>
      <c r="C312" s="179" t="str">
        <f t="shared" si="7"/>
        <v> Portugal</v>
      </c>
      <c r="D312" s="179" t="s">
        <v>1148</v>
      </c>
      <c r="E312" s="179" t="s">
        <v>409</v>
      </c>
      <c r="F312" s="179">
        <f t="shared" si="6"/>
        <v>1</v>
      </c>
      <c r="I312" s="179">
        <v>4072191736089.5098</v>
      </c>
    </row>
    <row r="313" spans="1:9">
      <c r="A313" t="s">
        <v>1218</v>
      </c>
      <c r="B313"/>
      <c r="C313" s="179" t="str">
        <f t="shared" si="7"/>
        <v> Serbia</v>
      </c>
      <c r="D313" s="179" t="s">
        <v>1100</v>
      </c>
      <c r="E313" s="179" t="s">
        <v>895</v>
      </c>
      <c r="F313" s="179">
        <f t="shared" si="6"/>
        <v>1</v>
      </c>
      <c r="I313" s="179">
        <v>72838798787.706589</v>
      </c>
    </row>
    <row r="314" spans="1:9">
      <c r="A314" t="s">
        <v>1219</v>
      </c>
      <c r="B314"/>
      <c r="C314" s="179" t="str">
        <f t="shared" si="7"/>
        <v> Slovenia</v>
      </c>
      <c r="D314" s="179" t="s">
        <v>1124</v>
      </c>
      <c r="E314" s="179" t="s">
        <v>909</v>
      </c>
      <c r="F314" s="179">
        <f t="shared" si="6"/>
        <v>1</v>
      </c>
      <c r="I314" s="179">
        <v>219065872466.24988</v>
      </c>
    </row>
    <row r="315" spans="1:9">
      <c r="A315" t="s">
        <v>1220</v>
      </c>
      <c r="B315"/>
      <c r="C315" s="179" t="str">
        <f t="shared" si="7"/>
        <v> Spain</v>
      </c>
      <c r="D315" s="179" t="s">
        <v>1134</v>
      </c>
      <c r="E315" s="179" t="s">
        <v>89</v>
      </c>
      <c r="F315" s="179">
        <f t="shared" si="6"/>
        <v>1</v>
      </c>
      <c r="I315" s="179">
        <v>21227749388.728706</v>
      </c>
    </row>
    <row r="316" spans="1:9">
      <c r="A316" t="s">
        <v>1221</v>
      </c>
      <c r="B316"/>
      <c r="C316" s="179" t="str">
        <f t="shared" si="7"/>
        <v> Turkey</v>
      </c>
      <c r="D316" s="179" t="s">
        <v>1139</v>
      </c>
      <c r="E316" s="179" t="s">
        <v>1324</v>
      </c>
      <c r="F316" s="179">
        <f t="shared" si="6"/>
        <v>1</v>
      </c>
      <c r="I316" s="179">
        <v>1633559092.0661118</v>
      </c>
    </row>
    <row r="317" spans="1:9">
      <c r="A317" t="s">
        <v>1222</v>
      </c>
      <c r="B317"/>
      <c r="C317" s="179" t="str">
        <f t="shared" si="7"/>
        <v> Austria</v>
      </c>
      <c r="D317" s="179" t="s">
        <v>1094</v>
      </c>
      <c r="E317" s="179" t="s">
        <v>521</v>
      </c>
      <c r="F317" s="179">
        <f t="shared" si="6"/>
        <v>1</v>
      </c>
      <c r="I317" s="179">
        <v>178788572067.58902</v>
      </c>
    </row>
    <row r="318" spans="1:9">
      <c r="A318" t="s">
        <v>1223</v>
      </c>
      <c r="B318"/>
      <c r="C318" s="179" t="str">
        <f t="shared" si="7"/>
        <v> Belgium</v>
      </c>
      <c r="D318" s="179" t="s">
        <v>1142</v>
      </c>
      <c r="E318" s="179" t="s">
        <v>527</v>
      </c>
      <c r="F318" s="179">
        <f t="shared" si="6"/>
        <v>1</v>
      </c>
      <c r="I318" s="179">
        <v>27841648044.375271</v>
      </c>
    </row>
    <row r="319" spans="1:9">
      <c r="A319" t="s">
        <v>1224</v>
      </c>
      <c r="B319"/>
      <c r="C319" s="179" t="str">
        <f t="shared" si="7"/>
        <v> Germany</v>
      </c>
      <c r="D319" s="179" t="s">
        <v>1152</v>
      </c>
      <c r="E319" s="179" t="s">
        <v>90</v>
      </c>
      <c r="F319" s="179">
        <f t="shared" si="6"/>
        <v>1</v>
      </c>
      <c r="I319" s="179">
        <v>388544468139.73291</v>
      </c>
    </row>
    <row r="320" spans="1:9">
      <c r="A320" t="s">
        <v>1225</v>
      </c>
      <c r="B320"/>
      <c r="C320" s="179" t="str">
        <f t="shared" si="7"/>
        <v> Luxembourg</v>
      </c>
      <c r="D320" s="179" t="s">
        <v>1068</v>
      </c>
      <c r="E320" s="179" t="s">
        <v>86</v>
      </c>
      <c r="F320" s="179">
        <f t="shared" si="6"/>
        <v>1</v>
      </c>
      <c r="I320" s="179">
        <v>264182173793.10345</v>
      </c>
    </row>
    <row r="321" spans="1:9">
      <c r="A321" t="s">
        <v>1226</v>
      </c>
      <c r="B321"/>
      <c r="C321" s="179" t="str">
        <f t="shared" si="7"/>
        <v> Netherlands</v>
      </c>
      <c r="D321" s="179" t="s">
        <v>1155</v>
      </c>
      <c r="E321" s="179" t="s">
        <v>822</v>
      </c>
      <c r="F321" s="179">
        <f t="shared" si="6"/>
        <v>1</v>
      </c>
      <c r="I321" s="179">
        <v>529244870222.76471</v>
      </c>
    </row>
    <row r="322" spans="1:9">
      <c r="A322" t="s">
        <v>1227</v>
      </c>
      <c r="B322"/>
      <c r="C322" s="179" t="str">
        <f t="shared" si="7"/>
        <v>  Switzerland</v>
      </c>
      <c r="D322" s="179" t="s">
        <v>1302</v>
      </c>
      <c r="E322" s="222" t="s">
        <v>79</v>
      </c>
      <c r="F322" s="179">
        <f t="shared" si="6"/>
        <v>1</v>
      </c>
      <c r="I322" s="179">
        <v>522033446211.62488</v>
      </c>
    </row>
    <row r="323" spans="1:9">
      <c r="A323" t="s">
        <v>1228</v>
      </c>
      <c r="B323"/>
      <c r="C323" s="179" t="str">
        <f t="shared" si="7"/>
        <v> Algeria</v>
      </c>
      <c r="D323" s="179" t="s">
        <v>1107</v>
      </c>
      <c r="E323" s="179" t="s">
        <v>603</v>
      </c>
      <c r="F323" s="179">
        <f t="shared" si="6"/>
        <v>1</v>
      </c>
      <c r="I323" s="179">
        <v>2010431598465.3774</v>
      </c>
    </row>
    <row r="324" spans="1:9">
      <c r="A324" t="s">
        <v>1229</v>
      </c>
      <c r="B324"/>
      <c r="C324" s="179" t="str">
        <f t="shared" si="7"/>
        <v> Bahrain</v>
      </c>
      <c r="D324" s="179" t="s">
        <v>1157</v>
      </c>
      <c r="E324" s="179" t="s">
        <v>537</v>
      </c>
      <c r="F324" s="179">
        <f t="shared" si="6"/>
        <v>1</v>
      </c>
      <c r="I324" s="179">
        <v>47451499859.15493</v>
      </c>
    </row>
    <row r="325" spans="1:9">
      <c r="A325" t="s">
        <v>1230</v>
      </c>
      <c r="B325"/>
      <c r="C325" s="179" t="str">
        <f t="shared" si="7"/>
        <v> Egypt</v>
      </c>
      <c r="D325" s="179" t="s">
        <v>1132</v>
      </c>
      <c r="E325" s="179" t="s">
        <v>1325</v>
      </c>
      <c r="F325" s="179">
        <f t="shared" si="6"/>
        <v>1</v>
      </c>
      <c r="I325" s="179">
        <v>220623001966.68585</v>
      </c>
    </row>
    <row r="326" spans="1:9">
      <c r="A326" t="s">
        <v>1231</v>
      </c>
      <c r="B326"/>
      <c r="C326" s="179" t="str">
        <f t="shared" si="7"/>
        <v> Iran</v>
      </c>
      <c r="D326" s="179" t="s">
        <v>1303</v>
      </c>
      <c r="E326" s="179" t="s">
        <v>1326</v>
      </c>
      <c r="F326" s="179">
        <f t="shared" si="6"/>
        <v>1</v>
      </c>
      <c r="I326" s="179">
        <v>113420008178.79318</v>
      </c>
    </row>
    <row r="327" spans="1:9">
      <c r="A327" t="s">
        <v>1232</v>
      </c>
      <c r="B327"/>
      <c r="C327" s="179" t="str">
        <f t="shared" si="7"/>
        <v> Iraq</v>
      </c>
      <c r="D327" s="179" t="s">
        <v>1079</v>
      </c>
      <c r="E327" s="179" t="s">
        <v>702</v>
      </c>
      <c r="F327" s="179">
        <f t="shared" si="6"/>
        <v>1</v>
      </c>
      <c r="I327" s="179">
        <v>9429156201.9585133</v>
      </c>
    </row>
    <row r="328" spans="1:9">
      <c r="A328" t="s">
        <v>1233</v>
      </c>
      <c r="B328"/>
      <c r="C328" s="179" t="str">
        <f t="shared" si="7"/>
        <v> Israel</v>
      </c>
      <c r="D328" s="179" t="s">
        <v>1141</v>
      </c>
      <c r="E328" s="179" t="s">
        <v>706</v>
      </c>
      <c r="F328" s="179">
        <f t="shared" si="6"/>
        <v>1</v>
      </c>
      <c r="I328" s="179">
        <v>184558274288.7373</v>
      </c>
    </row>
    <row r="329" spans="1:9">
      <c r="A329" t="s">
        <v>1234</v>
      </c>
      <c r="B329"/>
      <c r="C329" s="179" t="str">
        <f t="shared" si="7"/>
        <v> Jordan</v>
      </c>
      <c r="D329" s="179" t="s">
        <v>1122</v>
      </c>
      <c r="E329" s="179" t="s">
        <v>712</v>
      </c>
      <c r="F329" s="179">
        <f t="shared" si="6"/>
        <v>1</v>
      </c>
      <c r="I329" s="179">
        <v>10930644915.24011</v>
      </c>
    </row>
    <row r="330" spans="1:9">
      <c r="A330" t="s">
        <v>1235</v>
      </c>
      <c r="B330"/>
      <c r="C330" s="179" t="str">
        <f t="shared" si="7"/>
        <v> Kuwait</v>
      </c>
      <c r="D330" s="179" t="s">
        <v>1067</v>
      </c>
      <c r="E330" s="179" t="s">
        <v>728</v>
      </c>
      <c r="F330" s="179">
        <f t="shared" si="6"/>
        <v>1</v>
      </c>
      <c r="I330" s="179">
        <v>41153912662.86203</v>
      </c>
    </row>
    <row r="331" spans="1:9">
      <c r="A331" t="s">
        <v>1236</v>
      </c>
      <c r="B331"/>
      <c r="C331" s="179" t="str">
        <f t="shared" si="7"/>
        <v> Lebanon</v>
      </c>
      <c r="D331" s="179" t="s">
        <v>1154</v>
      </c>
      <c r="E331" s="179" t="s">
        <v>734</v>
      </c>
      <c r="F331" s="179">
        <f t="shared" si="6"/>
        <v>1</v>
      </c>
    </row>
    <row r="332" spans="1:9">
      <c r="A332" t="s">
        <v>1237</v>
      </c>
      <c r="B332"/>
      <c r="C332" s="179" t="str">
        <f t="shared" si="7"/>
        <v> Libya</v>
      </c>
      <c r="D332" s="179" t="s">
        <v>1073</v>
      </c>
      <c r="E332" s="179" t="s">
        <v>738</v>
      </c>
      <c r="F332" s="179">
        <f t="shared" si="6"/>
        <v>1</v>
      </c>
      <c r="I332" s="179">
        <v>2553459762.7991991</v>
      </c>
    </row>
    <row r="333" spans="1:9">
      <c r="A333" t="s">
        <v>1238</v>
      </c>
      <c r="B333"/>
      <c r="C333" s="179" t="str">
        <f t="shared" si="7"/>
        <v> Morocco</v>
      </c>
      <c r="D333" s="179" t="s">
        <v>1123</v>
      </c>
      <c r="E333" s="179" t="s">
        <v>768</v>
      </c>
      <c r="F333" s="179">
        <f t="shared" si="6"/>
        <v>1</v>
      </c>
      <c r="I333" s="179">
        <v>4001047150</v>
      </c>
    </row>
    <row r="334" spans="1:9">
      <c r="A334" t="s">
        <v>1239</v>
      </c>
      <c r="B334"/>
      <c r="C334" s="179" t="str">
        <f t="shared" si="7"/>
        <v> Mauritania</v>
      </c>
      <c r="D334" s="179" t="s">
        <v>1087</v>
      </c>
      <c r="E334" s="179" t="s">
        <v>802</v>
      </c>
      <c r="F334" s="179">
        <f t="shared" si="6"/>
        <v>1</v>
      </c>
      <c r="I334" s="179">
        <v>45752336035.984558</v>
      </c>
    </row>
    <row r="335" spans="1:9">
      <c r="A335" t="s">
        <v>1240</v>
      </c>
      <c r="B335"/>
      <c r="C335" s="179" t="str">
        <f t="shared" si="7"/>
        <v> Oman</v>
      </c>
      <c r="D335" s="179" t="s">
        <v>1143</v>
      </c>
      <c r="E335" s="179" t="s">
        <v>834</v>
      </c>
      <c r="F335" s="179">
        <f t="shared" si="6"/>
        <v>1</v>
      </c>
      <c r="I335" s="179">
        <v>70334299008.379654</v>
      </c>
    </row>
    <row r="336" spans="1:9">
      <c r="A336" t="s">
        <v>1241</v>
      </c>
      <c r="B336"/>
      <c r="C336" s="179" t="str">
        <f t="shared" si="7"/>
        <v> Palestine</v>
      </c>
      <c r="D336" s="179" t="s">
        <v>1304</v>
      </c>
      <c r="E336" s="179" t="s">
        <v>1327</v>
      </c>
      <c r="F336" s="179">
        <f t="shared" si="6"/>
        <v>0</v>
      </c>
      <c r="I336" s="179">
        <v>82274812250.91861</v>
      </c>
    </row>
    <row r="337" spans="1:9">
      <c r="A337" t="s">
        <v>1242</v>
      </c>
      <c r="B337"/>
      <c r="C337" s="179" t="str">
        <f t="shared" ref="C337:C368" si="8">A337</f>
        <v> Qatar</v>
      </c>
      <c r="D337" s="179" t="s">
        <v>1149</v>
      </c>
      <c r="E337" s="179" t="s">
        <v>869</v>
      </c>
      <c r="F337" s="179">
        <f t="shared" si="6"/>
        <v>1</v>
      </c>
      <c r="I337" s="179">
        <v>14954967604.407259</v>
      </c>
    </row>
    <row r="338" spans="1:9">
      <c r="A338" t="s">
        <v>1243</v>
      </c>
      <c r="B338"/>
      <c r="C338" s="179" t="str">
        <f t="shared" si="8"/>
        <v> Saudi Arabia</v>
      </c>
      <c r="D338" s="179" t="s">
        <v>1138</v>
      </c>
      <c r="E338" s="179" t="s">
        <v>878</v>
      </c>
      <c r="F338" s="179">
        <f t="shared" ref="F338:F393" si="9">COUNTIF($A$4:$A$270,E338)</f>
        <v>1</v>
      </c>
      <c r="I338" s="179">
        <v>13164667626.9363</v>
      </c>
    </row>
    <row r="339" spans="1:9">
      <c r="A339" t="s">
        <v>1244</v>
      </c>
      <c r="B339"/>
      <c r="C339" s="179" t="str">
        <f t="shared" si="8"/>
        <v> Sudan</v>
      </c>
      <c r="D339" s="179" t="s">
        <v>1305</v>
      </c>
      <c r="E339" s="179" t="s">
        <v>880</v>
      </c>
      <c r="F339" s="179">
        <f t="shared" si="9"/>
        <v>1</v>
      </c>
      <c r="I339" s="179">
        <v>18827176532.316879</v>
      </c>
    </row>
    <row r="340" spans="1:9">
      <c r="A340" t="s">
        <v>1245</v>
      </c>
      <c r="B340"/>
      <c r="C340" s="179" t="str">
        <f t="shared" si="8"/>
        <v> Syria</v>
      </c>
      <c r="D340" s="179" t="s">
        <v>1306</v>
      </c>
      <c r="E340" s="179" t="s">
        <v>1328</v>
      </c>
      <c r="F340" s="179">
        <f t="shared" si="9"/>
        <v>1</v>
      </c>
      <c r="I340" s="179">
        <v>17765270014.757099</v>
      </c>
    </row>
    <row r="341" spans="1:9">
      <c r="A341" t="s">
        <v>1246</v>
      </c>
      <c r="B341"/>
      <c r="C341" s="179" t="str">
        <f t="shared" si="8"/>
        <v> Tunisia</v>
      </c>
      <c r="D341" s="179" t="s">
        <v>1118</v>
      </c>
      <c r="E341" s="179" t="s">
        <v>950</v>
      </c>
      <c r="F341" s="179">
        <f t="shared" si="9"/>
        <v>1</v>
      </c>
      <c r="I341" s="179">
        <v>10375460680.436108</v>
      </c>
    </row>
    <row r="342" spans="1:9">
      <c r="A342" t="s">
        <v>1247</v>
      </c>
      <c r="B342"/>
      <c r="C342" s="179" t="str">
        <f t="shared" si="8"/>
        <v> United Arab Emirates</v>
      </c>
      <c r="D342" s="179" t="s">
        <v>1307</v>
      </c>
      <c r="E342" s="179" t="s">
        <v>510</v>
      </c>
      <c r="F342" s="179">
        <f t="shared" si="9"/>
        <v>1</v>
      </c>
      <c r="I342" s="179">
        <v>12898307089.131454</v>
      </c>
    </row>
    <row r="343" spans="1:9">
      <c r="A343" t="s">
        <v>1248</v>
      </c>
      <c r="B343"/>
      <c r="C343" s="179" t="str">
        <f t="shared" si="8"/>
        <v> Yemen</v>
      </c>
      <c r="D343" s="179" t="s">
        <v>1308</v>
      </c>
      <c r="E343" s="179" t="s">
        <v>1329</v>
      </c>
      <c r="F343" s="179">
        <f t="shared" si="9"/>
        <v>1</v>
      </c>
      <c r="I343" s="179">
        <v>14420947883.597883</v>
      </c>
    </row>
    <row r="344" spans="1:9">
      <c r="A344" t="s">
        <v>1249</v>
      </c>
      <c r="B344"/>
      <c r="C344" s="179" t="str">
        <f t="shared" si="8"/>
        <v> Burundi</v>
      </c>
      <c r="D344" s="179" t="s">
        <v>1097</v>
      </c>
      <c r="E344" s="179" t="s">
        <v>525</v>
      </c>
      <c r="F344" s="179">
        <f t="shared" si="9"/>
        <v>1</v>
      </c>
      <c r="I344" s="179">
        <v>6095978867.6992931</v>
      </c>
    </row>
    <row r="345" spans="1:9">
      <c r="A345" t="s">
        <v>1250</v>
      </c>
      <c r="B345"/>
      <c r="C345" s="179" t="str">
        <f t="shared" si="8"/>
        <v> Djibouti</v>
      </c>
      <c r="D345" s="179" t="s">
        <v>1070</v>
      </c>
      <c r="E345" s="179" t="s">
        <v>595</v>
      </c>
      <c r="F345" s="179">
        <f t="shared" si="9"/>
        <v>1</v>
      </c>
      <c r="I345" s="179">
        <v>134181587769.79614</v>
      </c>
    </row>
    <row r="346" spans="1:9">
      <c r="A346" t="s">
        <v>1251</v>
      </c>
      <c r="B346"/>
      <c r="C346" s="179" t="str">
        <f t="shared" si="8"/>
        <v> Eritrea</v>
      </c>
      <c r="D346" s="179" t="s">
        <v>1309</v>
      </c>
      <c r="E346" s="179" t="s">
        <v>620</v>
      </c>
      <c r="F346" s="179">
        <f t="shared" si="9"/>
        <v>1</v>
      </c>
      <c r="I346" s="179">
        <v>17851491427.676495</v>
      </c>
    </row>
    <row r="347" spans="1:9">
      <c r="A347" t="s">
        <v>1252</v>
      </c>
      <c r="B347"/>
      <c r="C347" s="179" t="str">
        <f t="shared" si="8"/>
        <v> Ethiopia</v>
      </c>
      <c r="D347" s="179" t="s">
        <v>1082</v>
      </c>
      <c r="E347" s="179" t="s">
        <v>625</v>
      </c>
      <c r="F347" s="179">
        <f t="shared" si="9"/>
        <v>1</v>
      </c>
      <c r="I347" s="179">
        <v>12607436975.945955</v>
      </c>
    </row>
    <row r="348" spans="1:9">
      <c r="A348" t="s">
        <v>1253</v>
      </c>
      <c r="B348"/>
      <c r="C348" s="179" t="str">
        <f t="shared" si="8"/>
        <v> Kenya</v>
      </c>
      <c r="D348" s="179" t="s">
        <v>1127</v>
      </c>
      <c r="E348" s="179" t="s">
        <v>717</v>
      </c>
      <c r="F348" s="179">
        <f t="shared" si="9"/>
        <v>1</v>
      </c>
      <c r="I348" s="179">
        <v>991114635529.18677</v>
      </c>
    </row>
    <row r="349" spans="1:9">
      <c r="A349" t="s">
        <v>1254</v>
      </c>
      <c r="B349"/>
      <c r="C349" s="179" t="str">
        <f t="shared" si="8"/>
        <v> Rwanda</v>
      </c>
      <c r="D349" s="179" t="s">
        <v>1133</v>
      </c>
      <c r="E349" s="179" t="s">
        <v>874</v>
      </c>
      <c r="F349" s="179">
        <f t="shared" si="9"/>
        <v>1</v>
      </c>
      <c r="I349" s="179">
        <v>13969605582.520235</v>
      </c>
    </row>
    <row r="350" spans="1:9">
      <c r="A350" t="s">
        <v>1255</v>
      </c>
      <c r="B350"/>
      <c r="C350" s="179" t="str">
        <f t="shared" si="8"/>
        <v> Somalia</v>
      </c>
      <c r="D350" s="179" t="s">
        <v>1310</v>
      </c>
      <c r="E350" s="179" t="s">
        <v>893</v>
      </c>
      <c r="F350" s="179">
        <f t="shared" si="9"/>
        <v>1</v>
      </c>
      <c r="I350" s="179">
        <v>477386120635.84479</v>
      </c>
    </row>
    <row r="351" spans="1:9">
      <c r="A351" t="s">
        <v>1256</v>
      </c>
      <c r="B351"/>
      <c r="C351" s="179" t="str">
        <f t="shared" si="8"/>
        <v> South Sudan</v>
      </c>
      <c r="D351" s="179" t="s">
        <v>1311</v>
      </c>
      <c r="E351" s="179" t="s">
        <v>899</v>
      </c>
      <c r="F351" s="179">
        <f t="shared" si="9"/>
        <v>1</v>
      </c>
      <c r="I351" s="179">
        <v>13563132057.248617</v>
      </c>
    </row>
    <row r="352" spans="1:9">
      <c r="A352" t="s">
        <v>1244</v>
      </c>
      <c r="B352"/>
      <c r="C352" s="179" t="str">
        <f t="shared" si="8"/>
        <v> Sudan</v>
      </c>
      <c r="D352" s="179" t="s">
        <v>1305</v>
      </c>
      <c r="E352" s="179" t="s">
        <v>880</v>
      </c>
      <c r="F352" s="179">
        <f t="shared" si="9"/>
        <v>1</v>
      </c>
      <c r="I352" s="179">
        <v>579267365866.3429</v>
      </c>
    </row>
    <row r="353" spans="1:9">
      <c r="A353" t="s">
        <v>1257</v>
      </c>
      <c r="B353"/>
      <c r="C353" s="179" t="str">
        <f t="shared" si="8"/>
        <v> Tanzania</v>
      </c>
      <c r="D353" s="179" t="s">
        <v>1129</v>
      </c>
      <c r="E353" s="179" t="s">
        <v>955</v>
      </c>
      <c r="F353" s="179">
        <f t="shared" si="9"/>
        <v>1</v>
      </c>
      <c r="I353" s="179">
        <v>114667360208.06242</v>
      </c>
    </row>
    <row r="354" spans="1:9">
      <c r="A354" t="s">
        <v>1258</v>
      </c>
      <c r="B354"/>
      <c r="C354" s="179" t="str">
        <f t="shared" si="8"/>
        <v> Uganda</v>
      </c>
      <c r="D354" s="179" t="s">
        <v>1117</v>
      </c>
      <c r="E354" s="179" t="s">
        <v>957</v>
      </c>
      <c r="F354" s="179">
        <f t="shared" si="9"/>
        <v>1</v>
      </c>
      <c r="I354" s="179">
        <v>688176605954.78723</v>
      </c>
    </row>
    <row r="355" spans="1:9">
      <c r="A355" t="s">
        <v>1259</v>
      </c>
      <c r="B355"/>
      <c r="C355" s="179" t="str">
        <f t="shared" si="8"/>
        <v> Cameroon</v>
      </c>
      <c r="D355" s="179" t="s">
        <v>1086</v>
      </c>
      <c r="E355" s="179" t="s">
        <v>572</v>
      </c>
      <c r="F355" s="179">
        <f t="shared" si="9"/>
        <v>1</v>
      </c>
      <c r="I355" s="179">
        <v>251945377529.38815</v>
      </c>
    </row>
    <row r="356" spans="1:9">
      <c r="A356" t="s">
        <v>1260</v>
      </c>
      <c r="B356"/>
      <c r="C356" s="179" t="str">
        <f t="shared" si="8"/>
        <v> Central African Republic</v>
      </c>
      <c r="D356" s="179" t="s">
        <v>1312</v>
      </c>
      <c r="E356" s="179" t="s">
        <v>560</v>
      </c>
      <c r="F356" s="179">
        <f t="shared" si="9"/>
        <v>1</v>
      </c>
      <c r="I356" s="179">
        <v>237295575171.10327</v>
      </c>
    </row>
    <row r="357" spans="1:9">
      <c r="A357" t="s">
        <v>1261</v>
      </c>
      <c r="B357"/>
      <c r="C357" s="179" t="str">
        <f t="shared" si="8"/>
        <v> Chad</v>
      </c>
      <c r="D357" s="179" t="s">
        <v>1075</v>
      </c>
      <c r="E357" s="179" t="s">
        <v>922</v>
      </c>
      <c r="F357" s="179">
        <f t="shared" si="9"/>
        <v>1</v>
      </c>
      <c r="I357" s="179">
        <v>301261582924.08508</v>
      </c>
    </row>
    <row r="358" spans="1:9">
      <c r="A358" t="s">
        <v>1262</v>
      </c>
      <c r="B358"/>
      <c r="C358" s="179" t="str">
        <f t="shared" si="8"/>
        <v> Democratic Republic of the Congo</v>
      </c>
      <c r="D358" s="179" t="s">
        <v>1313</v>
      </c>
      <c r="E358" s="179" t="s">
        <v>1330</v>
      </c>
      <c r="F358" s="179">
        <f t="shared" si="9"/>
        <v>1</v>
      </c>
      <c r="I358" s="179">
        <v>2240422438363.2739</v>
      </c>
    </row>
    <row r="359" spans="1:9">
      <c r="A359" t="s">
        <v>1263</v>
      </c>
      <c r="B359"/>
      <c r="C359" s="179" t="str">
        <f t="shared" si="8"/>
        <v> Republic of the Congo</v>
      </c>
      <c r="D359" s="179" t="s">
        <v>1314</v>
      </c>
      <c r="E359" s="179" t="s">
        <v>1331</v>
      </c>
      <c r="F359" s="179">
        <f t="shared" si="9"/>
        <v>1</v>
      </c>
      <c r="I359" s="179">
        <v>13312796765.233641</v>
      </c>
    </row>
    <row r="360" spans="1:9">
      <c r="A360" t="s">
        <v>1264</v>
      </c>
      <c r="B360"/>
      <c r="C360" s="179" t="str">
        <f t="shared" si="8"/>
        <v> Equatorial Guinea</v>
      </c>
      <c r="D360" s="179" t="s">
        <v>1315</v>
      </c>
      <c r="E360" s="179" t="s">
        <v>654</v>
      </c>
      <c r="F360" s="179">
        <f t="shared" si="9"/>
        <v>1</v>
      </c>
      <c r="I360" s="179">
        <v>546680341.64727437</v>
      </c>
    </row>
    <row r="361" spans="1:9">
      <c r="A361" t="s">
        <v>1265</v>
      </c>
      <c r="B361"/>
      <c r="C361" s="179" t="str">
        <f t="shared" si="8"/>
        <v> Gabon</v>
      </c>
      <c r="D361" s="179" t="s">
        <v>1072</v>
      </c>
      <c r="E361" s="179" t="s">
        <v>640</v>
      </c>
      <c r="F361" s="179">
        <f t="shared" si="9"/>
        <v>1</v>
      </c>
      <c r="I361" s="179">
        <v>1108148978218.488</v>
      </c>
    </row>
    <row r="362" spans="1:9">
      <c r="A362" t="s">
        <v>1266</v>
      </c>
      <c r="B362"/>
      <c r="C362" s="179" t="str">
        <f t="shared" si="8"/>
        <v> São Tomé and Príncipe</v>
      </c>
      <c r="D362" s="179" t="s">
        <v>1316</v>
      </c>
      <c r="E362" s="179" t="s">
        <v>1332</v>
      </c>
      <c r="F362" s="179">
        <f t="shared" si="9"/>
        <v>1</v>
      </c>
      <c r="I362" s="179">
        <v>27684430244.490704</v>
      </c>
    </row>
    <row r="363" spans="1:9">
      <c r="A363" t="s">
        <v>1267</v>
      </c>
      <c r="B363"/>
      <c r="C363" s="179" t="str">
        <f t="shared" si="8"/>
        <v> Angola</v>
      </c>
      <c r="D363" s="179" t="s">
        <v>1088</v>
      </c>
      <c r="E363" s="179" t="s">
        <v>502</v>
      </c>
      <c r="F363" s="179">
        <f t="shared" si="9"/>
        <v>1</v>
      </c>
      <c r="I363" s="179">
        <v>63501748652.296822</v>
      </c>
    </row>
    <row r="364" spans="1:9">
      <c r="A364" t="s">
        <v>1268</v>
      </c>
      <c r="B364"/>
      <c r="C364" s="179" t="str">
        <f t="shared" si="8"/>
        <v> Botswana</v>
      </c>
      <c r="D364" s="179" t="s">
        <v>1115</v>
      </c>
      <c r="E364" s="179" t="s">
        <v>558</v>
      </c>
      <c r="F364" s="179">
        <f t="shared" si="9"/>
        <v>1</v>
      </c>
      <c r="I364" s="179">
        <v>1588406479.1551094</v>
      </c>
    </row>
    <row r="365" spans="1:9">
      <c r="A365" t="s">
        <v>1269</v>
      </c>
      <c r="B365"/>
      <c r="C365" s="179" t="str">
        <f t="shared" si="8"/>
        <v> Comoros</v>
      </c>
      <c r="D365" s="179" t="s">
        <v>1317</v>
      </c>
      <c r="E365" s="179" t="s">
        <v>578</v>
      </c>
      <c r="F365" s="179">
        <f t="shared" si="9"/>
        <v>1</v>
      </c>
      <c r="I365" s="179">
        <v>3970343852.319387</v>
      </c>
    </row>
    <row r="366" spans="1:9">
      <c r="A366" t="s">
        <v>1270</v>
      </c>
      <c r="B366"/>
      <c r="C366" s="179" t="str">
        <f t="shared" si="8"/>
        <v> Eswatini</v>
      </c>
      <c r="D366" s="179" t="s">
        <v>1128</v>
      </c>
      <c r="E366" s="179" t="s">
        <v>913</v>
      </c>
      <c r="F366" s="179">
        <f t="shared" si="9"/>
        <v>1</v>
      </c>
      <c r="I366" s="179">
        <v>115468803971.54324</v>
      </c>
    </row>
    <row r="367" spans="1:9">
      <c r="A367" t="s">
        <v>1271</v>
      </c>
      <c r="B367"/>
      <c r="C367" s="179" t="str">
        <f t="shared" si="8"/>
        <v> Lesotho</v>
      </c>
      <c r="D367" s="179" t="s">
        <v>1121</v>
      </c>
      <c r="E367" s="179" t="s">
        <v>755</v>
      </c>
      <c r="F367" s="179">
        <f t="shared" si="9"/>
        <v>1</v>
      </c>
      <c r="I367" s="179">
        <v>62117768014.85627</v>
      </c>
    </row>
    <row r="368" spans="1:9">
      <c r="A368" t="s">
        <v>1272</v>
      </c>
      <c r="B368"/>
      <c r="C368" s="179" t="str">
        <f t="shared" si="8"/>
        <v> Madagascar</v>
      </c>
      <c r="D368" s="179" t="s">
        <v>1151</v>
      </c>
      <c r="E368" s="179" t="s">
        <v>774</v>
      </c>
      <c r="F368" s="179">
        <f t="shared" si="9"/>
        <v>1</v>
      </c>
      <c r="I368" s="179">
        <v>8126105600.0000029</v>
      </c>
    </row>
    <row r="369" spans="1:9">
      <c r="A369" t="s">
        <v>1273</v>
      </c>
      <c r="B369"/>
      <c r="C369" s="179" t="str">
        <f t="shared" ref="C369:C392" si="10">A369</f>
        <v> Malawi</v>
      </c>
      <c r="D369" s="179" t="s">
        <v>1103</v>
      </c>
      <c r="E369" s="179" t="s">
        <v>806</v>
      </c>
      <c r="F369" s="179">
        <f t="shared" si="9"/>
        <v>1</v>
      </c>
      <c r="I369" s="179">
        <v>405869718462.34259</v>
      </c>
    </row>
    <row r="370" spans="1:9">
      <c r="A370" t="s">
        <v>1274</v>
      </c>
      <c r="B370"/>
      <c r="C370" s="179" t="str">
        <f t="shared" si="10"/>
        <v> Mauritius</v>
      </c>
      <c r="D370" s="179" t="s">
        <v>1159</v>
      </c>
      <c r="E370" s="179" t="s">
        <v>804</v>
      </c>
      <c r="F370" s="179">
        <f t="shared" si="9"/>
        <v>1</v>
      </c>
    </row>
    <row r="371" spans="1:9">
      <c r="A371" t="s">
        <v>1275</v>
      </c>
      <c r="B371"/>
      <c r="C371" s="179" t="str">
        <f t="shared" si="10"/>
        <v> Mozambique</v>
      </c>
      <c r="D371" s="179" t="s">
        <v>1111</v>
      </c>
      <c r="E371" s="179" t="s">
        <v>800</v>
      </c>
      <c r="F371" s="179">
        <f t="shared" si="9"/>
        <v>1</v>
      </c>
      <c r="I371" s="179">
        <v>1397509272054.4802</v>
      </c>
    </row>
    <row r="372" spans="1:9">
      <c r="A372" t="s">
        <v>1276</v>
      </c>
      <c r="B372"/>
      <c r="C372" s="179" t="str">
        <f t="shared" si="10"/>
        <v> Namibia</v>
      </c>
      <c r="D372" s="179" t="s">
        <v>1098</v>
      </c>
      <c r="E372" s="179" t="s">
        <v>812</v>
      </c>
      <c r="F372" s="179">
        <f t="shared" si="9"/>
        <v>1</v>
      </c>
      <c r="I372" s="179">
        <v>51662241775.242538</v>
      </c>
    </row>
    <row r="373" spans="1:9">
      <c r="A373" t="s">
        <v>1277</v>
      </c>
      <c r="B373"/>
      <c r="C373" s="179" t="str">
        <f t="shared" si="10"/>
        <v> Seychelles</v>
      </c>
      <c r="D373" s="179" t="s">
        <v>1156</v>
      </c>
      <c r="E373" s="179" t="s">
        <v>917</v>
      </c>
      <c r="F373" s="179">
        <f t="shared" si="9"/>
        <v>1</v>
      </c>
      <c r="I373" s="179">
        <v>585939170123.85596</v>
      </c>
    </row>
    <row r="374" spans="1:9">
      <c r="A374" t="s">
        <v>1278</v>
      </c>
      <c r="B374"/>
      <c r="C374" s="179" t="str">
        <f t="shared" si="10"/>
        <v> South Africa</v>
      </c>
      <c r="D374" s="179" t="s">
        <v>1110</v>
      </c>
      <c r="E374" s="179" t="s">
        <v>987</v>
      </c>
      <c r="F374" s="179">
        <f t="shared" si="9"/>
        <v>1</v>
      </c>
      <c r="I374" s="179">
        <v>807706035351.75024</v>
      </c>
    </row>
    <row r="375" spans="1:9">
      <c r="A375" t="s">
        <v>1279</v>
      </c>
      <c r="B375"/>
      <c r="C375" s="179" t="str">
        <f t="shared" si="10"/>
        <v> Zambia</v>
      </c>
      <c r="D375" s="179" t="s">
        <v>1081</v>
      </c>
      <c r="E375" s="179" t="s">
        <v>989</v>
      </c>
      <c r="F375" s="179">
        <f t="shared" si="9"/>
        <v>1</v>
      </c>
    </row>
    <row r="376" spans="1:9">
      <c r="A376" t="s">
        <v>1280</v>
      </c>
      <c r="B376"/>
      <c r="C376" s="179" t="str">
        <f t="shared" si="10"/>
        <v> Zimbabwe</v>
      </c>
      <c r="D376" s="179" t="s">
        <v>1076</v>
      </c>
      <c r="E376" s="179" t="s">
        <v>991</v>
      </c>
      <c r="F376" s="179">
        <f t="shared" si="9"/>
        <v>1</v>
      </c>
      <c r="I376" s="179">
        <v>10492123387.793121</v>
      </c>
    </row>
    <row r="377" spans="1:9">
      <c r="A377" t="s">
        <v>1281</v>
      </c>
      <c r="B377"/>
      <c r="C377" s="179" t="str">
        <f t="shared" si="10"/>
        <v> Benin</v>
      </c>
      <c r="D377" s="179" t="s">
        <v>1090</v>
      </c>
      <c r="E377" s="179" t="s">
        <v>529</v>
      </c>
      <c r="F377" s="179">
        <f t="shared" si="9"/>
        <v>1</v>
      </c>
      <c r="I377" s="179">
        <v>75709289056.445663</v>
      </c>
    </row>
    <row r="378" spans="1:9">
      <c r="A378" t="s">
        <v>1282</v>
      </c>
      <c r="B378"/>
      <c r="C378" s="179" t="str">
        <f t="shared" si="10"/>
        <v> Burkina Faso</v>
      </c>
      <c r="D378" s="179" t="s">
        <v>1113</v>
      </c>
      <c r="E378" s="179" t="s">
        <v>531</v>
      </c>
      <c r="F378" s="179">
        <f t="shared" si="9"/>
        <v>1</v>
      </c>
      <c r="I378" s="179">
        <v>8126439480.6130228</v>
      </c>
    </row>
    <row r="379" spans="1:9">
      <c r="A379" t="s">
        <v>1283</v>
      </c>
      <c r="B379"/>
      <c r="C379" s="179" t="str">
        <f t="shared" si="10"/>
        <v> Cape Verde</v>
      </c>
      <c r="D379" s="179" t="s">
        <v>1091</v>
      </c>
      <c r="E379" s="179" t="s">
        <v>1333</v>
      </c>
      <c r="F379" s="179">
        <f t="shared" si="9"/>
        <v>1</v>
      </c>
      <c r="I379" s="179">
        <v>46664948951.657059</v>
      </c>
    </row>
    <row r="380" spans="1:9">
      <c r="A380" t="s">
        <v>1284</v>
      </c>
      <c r="B380"/>
      <c r="C380" s="179" t="str">
        <f t="shared" si="10"/>
        <v> Gambia</v>
      </c>
      <c r="D380" s="179" t="s">
        <v>1130</v>
      </c>
      <c r="E380" s="179" t="s">
        <v>1334</v>
      </c>
      <c r="F380" s="179">
        <f t="shared" si="9"/>
        <v>1</v>
      </c>
      <c r="I380" s="179">
        <v>905987824096.12671</v>
      </c>
    </row>
    <row r="381" spans="1:9">
      <c r="A381" t="s">
        <v>1285</v>
      </c>
      <c r="B381"/>
      <c r="C381" s="179" t="str">
        <f t="shared" si="10"/>
        <v> Ghana</v>
      </c>
      <c r="D381" s="179" t="s">
        <v>1136</v>
      </c>
      <c r="E381" s="179" t="s">
        <v>645</v>
      </c>
      <c r="F381" s="179">
        <f t="shared" si="9"/>
        <v>1</v>
      </c>
    </row>
    <row r="382" spans="1:9">
      <c r="A382" t="s">
        <v>1286</v>
      </c>
      <c r="B382"/>
      <c r="C382" s="179" t="str">
        <f t="shared" si="10"/>
        <v> Guinea</v>
      </c>
      <c r="D382" s="179" t="s">
        <v>1083</v>
      </c>
      <c r="E382" s="179" t="s">
        <v>649</v>
      </c>
      <c r="F382" s="179">
        <f t="shared" si="9"/>
        <v>1</v>
      </c>
      <c r="I382" s="179">
        <v>45559202048.734489</v>
      </c>
    </row>
    <row r="383" spans="1:9">
      <c r="A383" t="s">
        <v>1287</v>
      </c>
      <c r="B383"/>
      <c r="C383" s="179" t="str">
        <f t="shared" si="10"/>
        <v> Guinea-Bissau</v>
      </c>
      <c r="D383" s="179" t="s">
        <v>1077</v>
      </c>
      <c r="E383" s="179" t="s">
        <v>652</v>
      </c>
      <c r="F383" s="179">
        <f t="shared" si="9"/>
        <v>1</v>
      </c>
      <c r="I383" s="179">
        <v>160502739236.09692</v>
      </c>
    </row>
    <row r="384" spans="1:9">
      <c r="A384" t="s">
        <v>1288</v>
      </c>
      <c r="B384"/>
      <c r="C384" s="179" t="str">
        <f t="shared" si="10"/>
        <v> Ivory Coast</v>
      </c>
      <c r="D384" s="179" t="s">
        <v>1318</v>
      </c>
      <c r="E384" s="179" t="s">
        <v>1335</v>
      </c>
      <c r="F384" s="179">
        <f t="shared" si="9"/>
        <v>1</v>
      </c>
      <c r="I384" s="179">
        <v>507534921715.4527</v>
      </c>
    </row>
    <row r="385" spans="1:9">
      <c r="A385" t="s">
        <v>1289</v>
      </c>
      <c r="B385"/>
      <c r="C385" s="179" t="str">
        <f t="shared" si="10"/>
        <v> Liberia</v>
      </c>
      <c r="D385" s="179" t="s">
        <v>1069</v>
      </c>
      <c r="E385" s="179" t="s">
        <v>736</v>
      </c>
      <c r="F385" s="179">
        <f t="shared" si="9"/>
        <v>1</v>
      </c>
      <c r="I385" s="179">
        <v>3070667732359.2051</v>
      </c>
    </row>
    <row r="386" spans="1:9">
      <c r="A386" t="s">
        <v>1290</v>
      </c>
      <c r="B386"/>
      <c r="C386" s="179" t="str">
        <f t="shared" si="10"/>
        <v> Mali</v>
      </c>
      <c r="D386" s="179" t="s">
        <v>1095</v>
      </c>
      <c r="E386" s="179" t="s">
        <v>788</v>
      </c>
      <c r="F386" s="179">
        <f t="shared" si="9"/>
        <v>1</v>
      </c>
      <c r="I386" s="179">
        <v>80391853884.763992</v>
      </c>
    </row>
    <row r="387" spans="1:9">
      <c r="A387" t="s">
        <v>1239</v>
      </c>
      <c r="B387"/>
      <c r="C387" s="179" t="str">
        <f t="shared" si="10"/>
        <v> Mauritania</v>
      </c>
      <c r="D387" s="179" t="s">
        <v>1087</v>
      </c>
      <c r="E387" s="179" t="s">
        <v>802</v>
      </c>
      <c r="F387" s="179">
        <f t="shared" si="9"/>
        <v>1</v>
      </c>
    </row>
    <row r="388" spans="1:9">
      <c r="A388" t="s">
        <v>1291</v>
      </c>
      <c r="B388"/>
      <c r="C388" s="179" t="str">
        <f t="shared" si="10"/>
        <v> Niger</v>
      </c>
      <c r="D388" s="179" t="s">
        <v>1319</v>
      </c>
      <c r="E388" s="179" t="s">
        <v>816</v>
      </c>
      <c r="F388" s="179">
        <f t="shared" si="9"/>
        <v>1</v>
      </c>
      <c r="I388" s="179">
        <v>29784454055.939106</v>
      </c>
    </row>
    <row r="389" spans="1:9">
      <c r="A389" t="s">
        <v>1292</v>
      </c>
      <c r="B389"/>
      <c r="C389" s="179" t="str">
        <f t="shared" si="10"/>
        <v> Nigeria</v>
      </c>
      <c r="D389" s="179" t="s">
        <v>1131</v>
      </c>
      <c r="E389" s="179" t="s">
        <v>818</v>
      </c>
      <c r="F389" s="179">
        <f t="shared" si="9"/>
        <v>1</v>
      </c>
      <c r="I389" s="179">
        <v>20678055597.734528</v>
      </c>
    </row>
    <row r="390" spans="1:9">
      <c r="A390" t="s">
        <v>1293</v>
      </c>
      <c r="B390"/>
      <c r="C390" s="179" t="str">
        <f t="shared" si="10"/>
        <v> Saint Helena, Ascension and Tristan da Cunha</v>
      </c>
      <c r="D390" s="179" t="s">
        <v>1320</v>
      </c>
      <c r="E390" s="179" t="s">
        <v>1336</v>
      </c>
      <c r="F390" s="179">
        <f t="shared" si="9"/>
        <v>0</v>
      </c>
    </row>
    <row r="391" spans="1:9">
      <c r="A391" t="s">
        <v>1294</v>
      </c>
      <c r="B391"/>
      <c r="C391" s="179" t="str">
        <f t="shared" si="10"/>
        <v> Senegal</v>
      </c>
      <c r="D391" s="179" t="s">
        <v>1085</v>
      </c>
      <c r="E391" s="179" t="s">
        <v>882</v>
      </c>
      <c r="F391" s="179">
        <f t="shared" si="9"/>
        <v>1</v>
      </c>
    </row>
    <row r="392" spans="1:9">
      <c r="A392" t="s">
        <v>1295</v>
      </c>
      <c r="B392"/>
      <c r="C392" s="179" t="str">
        <f t="shared" si="10"/>
        <v> Sierra Leone</v>
      </c>
      <c r="D392" s="179" t="s">
        <v>1071</v>
      </c>
      <c r="E392" s="179" t="s">
        <v>887</v>
      </c>
      <c r="F392" s="179">
        <f t="shared" si="9"/>
        <v>1</v>
      </c>
    </row>
    <row r="393" spans="1:9">
      <c r="A393" t="s">
        <v>1296</v>
      </c>
      <c r="B393"/>
      <c r="C393" s="179" t="str">
        <f t="shared" ref="C393" si="11">A393</f>
        <v> Togo</v>
      </c>
      <c r="D393" s="179" t="s">
        <v>1080</v>
      </c>
      <c r="E393" s="179" t="s">
        <v>928</v>
      </c>
      <c r="F393" s="179">
        <f t="shared" si="9"/>
        <v>1</v>
      </c>
    </row>
  </sheetData>
  <autoFilter ref="A4:BP270">
    <sortState ref="A5:BP270">
      <sortCondition ref="A4:A270"/>
    </sortState>
  </autoFilter>
  <pageMargins left="0.7" right="0.7" top="0.75" bottom="0.75" header="0.3" footer="0.3"/>
  <pageSetup paperSize="9" orientation="portrait" horizontalDpi="200" verticalDpi="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Normal="100" workbookViewId="0">
      <selection activeCell="H7" sqref="H7:N7"/>
    </sheetView>
  </sheetViews>
  <sheetFormatPr baseColWidth="10" defaultColWidth="10.5546875" defaultRowHeight="14.4"/>
  <sheetData>
    <row r="1" spans="1:14">
      <c r="A1" t="s">
        <v>99</v>
      </c>
    </row>
    <row r="2" spans="1:14">
      <c r="B2" t="s">
        <v>100</v>
      </c>
      <c r="C2" s="51"/>
      <c r="D2" s="51"/>
      <c r="E2" s="51" t="s">
        <v>1033</v>
      </c>
      <c r="F2" s="51"/>
      <c r="G2" s="52"/>
    </row>
    <row r="3" spans="1:14">
      <c r="A3" t="s">
        <v>0</v>
      </c>
      <c r="B3" t="s">
        <v>101</v>
      </c>
      <c r="C3" s="51" t="s">
        <v>1024</v>
      </c>
      <c r="D3" s="51"/>
      <c r="E3" s="51" t="s">
        <v>1032</v>
      </c>
      <c r="F3" s="51"/>
      <c r="G3" s="52"/>
    </row>
    <row r="4" spans="1:14">
      <c r="A4" t="s">
        <v>1</v>
      </c>
      <c r="B4" t="s">
        <v>102</v>
      </c>
      <c r="C4" s="53" t="s">
        <v>1025</v>
      </c>
      <c r="D4" s="53"/>
      <c r="E4" s="53" t="s">
        <v>1034</v>
      </c>
      <c r="F4" s="53" t="s">
        <v>1035</v>
      </c>
      <c r="G4" s="54"/>
    </row>
    <row r="5" spans="1:14">
      <c r="A5" t="s">
        <v>2</v>
      </c>
      <c r="B5" t="s">
        <v>103</v>
      </c>
      <c r="C5" s="53" t="s">
        <v>1026</v>
      </c>
      <c r="D5" s="53"/>
      <c r="E5" s="53" t="s">
        <v>366</v>
      </c>
      <c r="F5" s="53" t="s">
        <v>367</v>
      </c>
      <c r="G5" s="55"/>
    </row>
    <row r="6" spans="1:14">
      <c r="A6" t="s">
        <v>3</v>
      </c>
      <c r="B6" t="s">
        <v>104</v>
      </c>
      <c r="C6" s="53" t="s">
        <v>1027</v>
      </c>
      <c r="D6" s="53"/>
      <c r="E6" s="53" t="s">
        <v>365</v>
      </c>
      <c r="F6" s="53" t="s">
        <v>1029</v>
      </c>
      <c r="G6" s="54"/>
    </row>
    <row r="7" spans="1:14">
      <c r="A7" t="s">
        <v>4</v>
      </c>
      <c r="B7" t="s">
        <v>105</v>
      </c>
      <c r="C7" s="53" t="s">
        <v>1028</v>
      </c>
      <c r="D7" s="53"/>
      <c r="E7" t="s">
        <v>4</v>
      </c>
      <c r="F7" s="53" t="s">
        <v>1028</v>
      </c>
      <c r="G7" s="54"/>
      <c r="H7" s="53" t="s">
        <v>367</v>
      </c>
      <c r="I7" s="53" t="s">
        <v>1029</v>
      </c>
      <c r="J7" s="53" t="s">
        <v>1028</v>
      </c>
      <c r="K7" s="53" t="s">
        <v>1027</v>
      </c>
      <c r="L7" s="53" t="s">
        <v>1026</v>
      </c>
      <c r="M7" s="53" t="s">
        <v>1025</v>
      </c>
      <c r="N7" s="51" t="s">
        <v>1024</v>
      </c>
    </row>
    <row r="8" spans="1:14">
      <c r="A8" s="53" t="s">
        <v>365</v>
      </c>
      <c r="B8" s="53" t="s">
        <v>364</v>
      </c>
      <c r="C8" s="53" t="s">
        <v>1029</v>
      </c>
      <c r="D8" s="53"/>
      <c r="E8" t="s">
        <v>3</v>
      </c>
      <c r="F8" s="53" t="s">
        <v>1027</v>
      </c>
      <c r="G8" s="55"/>
    </row>
    <row r="9" spans="1:14">
      <c r="A9" s="53" t="s">
        <v>152</v>
      </c>
      <c r="B9" s="53" t="s">
        <v>363</v>
      </c>
      <c r="C9" s="53"/>
      <c r="D9" s="53"/>
      <c r="E9" t="s">
        <v>2</v>
      </c>
      <c r="F9" s="53" t="s">
        <v>1026</v>
      </c>
      <c r="G9" s="54"/>
    </row>
    <row r="10" spans="1:14">
      <c r="A10" s="53" t="s">
        <v>366</v>
      </c>
      <c r="B10" s="53" t="s">
        <v>367</v>
      </c>
      <c r="C10" s="53" t="s">
        <v>367</v>
      </c>
      <c r="D10" s="53"/>
      <c r="E10" t="s">
        <v>1</v>
      </c>
      <c r="F10" s="53" t="s">
        <v>1025</v>
      </c>
      <c r="G10" s="54"/>
    </row>
    <row r="11" spans="1:14">
      <c r="A11" s="53"/>
      <c r="B11" s="53"/>
      <c r="C11" s="53"/>
      <c r="D11" s="53"/>
      <c r="E11" t="s">
        <v>0</v>
      </c>
      <c r="F11" s="51" t="s">
        <v>1024</v>
      </c>
      <c r="G11" s="54"/>
    </row>
    <row r="12" spans="1:14">
      <c r="A12" s="188">
        <v>41639</v>
      </c>
      <c r="B12">
        <v>0.72718000000000005</v>
      </c>
      <c r="C12" s="192">
        <f>1/B12</f>
        <v>1.3751753348551941</v>
      </c>
      <c r="D12" s="53"/>
      <c r="G12" s="55"/>
    </row>
    <row r="13" spans="1:14">
      <c r="A13" s="188">
        <v>42004</v>
      </c>
      <c r="B13" s="189">
        <v>0.82647999999999999</v>
      </c>
      <c r="C13" s="192">
        <f t="shared" ref="C13:C20" si="0">1/B13</f>
        <v>1.2099506340141322</v>
      </c>
    </row>
    <row r="14" spans="1:14">
      <c r="A14" s="188">
        <v>42369</v>
      </c>
      <c r="B14" s="189">
        <v>0.92096</v>
      </c>
      <c r="C14" s="192">
        <f t="shared" si="0"/>
        <v>1.0858234885337039</v>
      </c>
    </row>
    <row r="15" spans="1:14">
      <c r="A15" s="188">
        <v>42735</v>
      </c>
      <c r="B15" s="189">
        <v>0.95040000000000002</v>
      </c>
      <c r="C15" s="192">
        <f t="shared" si="0"/>
        <v>1.0521885521885521</v>
      </c>
    </row>
    <row r="16" spans="1:14">
      <c r="A16" s="188">
        <v>43100</v>
      </c>
      <c r="B16" s="189">
        <v>0.83340000000000003</v>
      </c>
      <c r="C16" s="192">
        <f t="shared" si="0"/>
        <v>1.1999040076793857</v>
      </c>
    </row>
    <row r="17" spans="1:3">
      <c r="A17" s="188">
        <v>43465</v>
      </c>
      <c r="B17" s="189">
        <v>0.87021000000000004</v>
      </c>
      <c r="C17" s="192">
        <f t="shared" si="0"/>
        <v>1.1491479068270876</v>
      </c>
    </row>
    <row r="18" spans="1:3">
      <c r="A18" s="188">
        <v>43830</v>
      </c>
      <c r="B18" s="189">
        <v>0.89127000000000001</v>
      </c>
      <c r="C18" s="192">
        <f t="shared" si="0"/>
        <v>1.1219944573473808</v>
      </c>
    </row>
    <row r="19" spans="1:3">
      <c r="A19" s="188">
        <v>44196</v>
      </c>
      <c r="B19" s="190">
        <v>0.81535000000000002</v>
      </c>
      <c r="C19" s="192">
        <f t="shared" si="0"/>
        <v>1.226467161341755</v>
      </c>
    </row>
    <row r="20" spans="1:3">
      <c r="A20" s="188">
        <v>44561</v>
      </c>
      <c r="B20" s="191">
        <v>0.87939999999999996</v>
      </c>
      <c r="C20" s="192">
        <f t="shared" si="0"/>
        <v>1.1371389583807141</v>
      </c>
    </row>
  </sheetData>
  <autoFilter ref="E4:F11">
    <sortState ref="E5:F11">
      <sortCondition descending="1" ref="E4:E11"/>
    </sortState>
  </autoFilter>
  <pageMargins left="0.7" right="0.7" top="0.78749999999999998" bottom="0.78749999999999998"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topLeftCell="A20" workbookViewId="0">
      <selection activeCell="A27" sqref="A27"/>
    </sheetView>
  </sheetViews>
  <sheetFormatPr baseColWidth="10" defaultRowHeight="14.4"/>
  <cols>
    <col min="1" max="1" width="32.6640625" bestFit="1" customWidth="1"/>
    <col min="2" max="2" width="12.6640625" bestFit="1" customWidth="1"/>
    <col min="3" max="3" width="11.77734375" bestFit="1" customWidth="1"/>
    <col min="4" max="4" width="12.77734375" bestFit="1" customWidth="1"/>
    <col min="5" max="5" width="12.88671875" bestFit="1" customWidth="1"/>
    <col min="6" max="6" width="12.77734375" bestFit="1" customWidth="1"/>
    <col min="7" max="7" width="11.77734375" bestFit="1" customWidth="1"/>
  </cols>
  <sheetData>
    <row r="1" spans="1:7">
      <c r="A1">
        <v>2022</v>
      </c>
      <c r="B1" t="s">
        <v>72</v>
      </c>
      <c r="C1" t="s">
        <v>134</v>
      </c>
      <c r="D1" t="s">
        <v>78</v>
      </c>
      <c r="E1" t="s">
        <v>73</v>
      </c>
      <c r="F1" s="227" t="s">
        <v>1366</v>
      </c>
      <c r="G1" t="s">
        <v>106</v>
      </c>
    </row>
    <row r="2" spans="1:7">
      <c r="A2" s="60" t="s">
        <v>139</v>
      </c>
      <c r="B2" s="4">
        <f ca="1">INDIRECT(B$1&amp;"!H14")</f>
        <v>164000</v>
      </c>
      <c r="C2" s="4">
        <f ca="1">INDIRECT(C$1&amp;"!H14")</f>
        <v>86482</v>
      </c>
      <c r="D2" s="4">
        <f ca="1">INDIRECT(D$1&amp;"!H14")</f>
        <v>190234</v>
      </c>
      <c r="E2" s="4">
        <f ca="1">INDIRECT(E$1&amp;"!G14")</f>
        <v>221000</v>
      </c>
      <c r="F2" s="228">
        <f ca="1">SUM(B2:E2)</f>
        <v>661716</v>
      </c>
      <c r="G2" s="4">
        <f ca="1">INDIRECT(G$1&amp;"!H14")</f>
        <v>1541000</v>
      </c>
    </row>
    <row r="3" spans="1:7">
      <c r="A3" t="s">
        <v>5</v>
      </c>
      <c r="B3" s="4">
        <f ca="1">INDIRECT(B$1&amp;"!H2")</f>
        <v>394328</v>
      </c>
      <c r="C3" s="4">
        <f ca="1">INDIRECT(C$1&amp;"!H2")</f>
        <v>116609</v>
      </c>
      <c r="D3" s="4">
        <f ca="1">INDIRECT(D$1&amp;"!H2")</f>
        <v>282836</v>
      </c>
      <c r="E3" s="4">
        <f ca="1">INDIRECT(E$1&amp;"!G2")</f>
        <v>198270</v>
      </c>
      <c r="F3" s="228">
        <f ca="1">SUM(B3:E3)</f>
        <v>992043</v>
      </c>
      <c r="G3" s="4">
        <f ca="1">INDIRECT(G$1&amp;"!H2")</f>
        <v>513983</v>
      </c>
    </row>
    <row r="4" spans="1:7">
      <c r="A4" t="s">
        <v>127</v>
      </c>
      <c r="B4" s="4">
        <f ca="1">INDIRECT(B$1&amp;"!H3")</f>
        <v>119103</v>
      </c>
      <c r="C4" s="4">
        <f ca="1">INDIRECT(C$1&amp;"!H3")</f>
        <v>28819</v>
      </c>
      <c r="D4" s="4">
        <f ca="1">INDIRECT(D$1&amp;"!H3")</f>
        <v>71328</v>
      </c>
      <c r="E4" s="4">
        <f ca="1">INDIRECT(E$1&amp;"!G3")</f>
        <v>83716</v>
      </c>
      <c r="F4" s="228">
        <f ca="1">SUM(B4:E4)</f>
        <v>302966</v>
      </c>
      <c r="G4" s="4">
        <f ca="1">INDIRECT(G$1&amp;"!H3")</f>
        <v>-5936</v>
      </c>
    </row>
    <row r="5" spans="1:7">
      <c r="A5" t="s">
        <v>129</v>
      </c>
      <c r="B5" s="4">
        <f ca="1">INDIRECT(B$1&amp;"!H6")</f>
        <v>19300</v>
      </c>
      <c r="C5" s="4">
        <f ca="1">INDIRECT(C$1&amp;"!H6")</f>
        <v>5619</v>
      </c>
      <c r="D5" s="4">
        <f ca="1">INDIRECT(D$1&amp;"!H6")</f>
        <v>11356</v>
      </c>
      <c r="E5" s="4">
        <f ca="1">INDIRECT(E$1&amp;"!G6")</f>
        <v>10978</v>
      </c>
      <c r="F5" s="228">
        <f ca="1">SUM(B5:E5)</f>
        <v>47253</v>
      </c>
      <c r="G5" s="4">
        <f ca="1">INDIRECT(G$1&amp;"!H6")</f>
        <v>-3217</v>
      </c>
    </row>
    <row r="6" spans="1:7">
      <c r="A6" t="s">
        <v>128</v>
      </c>
      <c r="B6" s="4">
        <f ca="1">INDIRECT(B$1&amp;"!H8")+INDIRECT(B$1&amp;"!H11")</f>
        <v>18405</v>
      </c>
      <c r="C6" s="4">
        <f ca="1">INDIRECT(C$1&amp;"!H8")+INDIRECT(C$1&amp;"!H11")</f>
        <v>8896</v>
      </c>
      <c r="D6" s="4">
        <f ca="1">INDIRECT(D$1&amp;"!H8")+INDIRECT(D$1&amp;"!H11")</f>
        <v>19554</v>
      </c>
      <c r="E6" s="4">
        <f ca="1">INDIRECT(E$1&amp;"!G8")+INDIRECT(E$1&amp;"!G11")</f>
        <v>16680</v>
      </c>
      <c r="F6" s="228">
        <f ca="1">SUM(B6:E6)</f>
        <v>63535</v>
      </c>
      <c r="G6" s="4">
        <f ca="1">INDIRECT(G$1&amp;"!H8")+INDIRECT(G$1&amp;"!H11")</f>
        <v>4931</v>
      </c>
    </row>
    <row r="7" spans="1:7">
      <c r="A7" t="s">
        <v>130</v>
      </c>
      <c r="B7" s="4">
        <f ca="1">INDIRECT(B$1&amp;"!H13")</f>
        <v>19573</v>
      </c>
      <c r="C7" s="4">
        <f ca="1">INDIRECT(C$1&amp;"!H13")</f>
        <v>6407</v>
      </c>
      <c r="D7" s="4">
        <f ca="1">INDIRECT(D$1&amp;"!H13")</f>
        <v>18892</v>
      </c>
      <c r="E7" s="4">
        <f ca="1">INDIRECT(E$1&amp;"!G13")</f>
        <v>16000</v>
      </c>
      <c r="F7" s="228">
        <f ca="1">SUM(B7:E7)</f>
        <v>60872</v>
      </c>
      <c r="G7" s="4">
        <f ca="1">INDIRECT(G$1&amp;"!H13")</f>
        <v>6000</v>
      </c>
    </row>
    <row r="8" spans="1:7">
      <c r="A8" s="230" t="s">
        <v>131</v>
      </c>
      <c r="B8" s="231">
        <f ca="1">B5/B$4</f>
        <v>0.16204461684424407</v>
      </c>
      <c r="C8" s="231">
        <f t="shared" ref="C8:E8" ca="1" si="0">C5/C$4</f>
        <v>0.19497553697213643</v>
      </c>
      <c r="D8" s="231">
        <f t="shared" ca="1" si="0"/>
        <v>0.1592081650964558</v>
      </c>
      <c r="E8" s="231">
        <f t="shared" ca="1" si="0"/>
        <v>0.13113383343685794</v>
      </c>
      <c r="F8" s="234">
        <f ca="1">AVERAGE(B8:E8)</f>
        <v>0.16184053808742355</v>
      </c>
      <c r="G8" s="231"/>
    </row>
    <row r="9" spans="1:7">
      <c r="A9" t="s">
        <v>132</v>
      </c>
      <c r="B9" s="57">
        <f t="shared" ref="B9:E10" ca="1" si="1">B6/B$4</f>
        <v>0.15453011259162239</v>
      </c>
      <c r="C9" s="57">
        <f t="shared" ca="1" si="1"/>
        <v>0.30868524237482214</v>
      </c>
      <c r="D9" s="57">
        <f t="shared" ca="1" si="1"/>
        <v>0.2741419919246299</v>
      </c>
      <c r="E9" s="57">
        <f t="shared" ca="1" si="1"/>
        <v>0.19924506665392516</v>
      </c>
      <c r="F9" s="229">
        <f ca="1">AVERAGE(B9:E9)</f>
        <v>0.23415060338624988</v>
      </c>
      <c r="G9" s="57"/>
    </row>
    <row r="10" spans="1:7">
      <c r="A10" t="s">
        <v>133</v>
      </c>
      <c r="B10" s="57">
        <f t="shared" ca="1" si="1"/>
        <v>0.1643367505436471</v>
      </c>
      <c r="C10" s="57">
        <f t="shared" ca="1" si="1"/>
        <v>0.22231860925084146</v>
      </c>
      <c r="D10" s="57">
        <f t="shared" ca="1" si="1"/>
        <v>0.26486092418124718</v>
      </c>
      <c r="E10" s="57">
        <f t="shared" ca="1" si="1"/>
        <v>0.19112236609489225</v>
      </c>
      <c r="F10" s="229">
        <f ca="1">AVERAGE(B10:E10)</f>
        <v>0.210659662517657</v>
      </c>
      <c r="G10" s="57"/>
    </row>
    <row r="11" spans="1:7">
      <c r="A11" s="60" t="s">
        <v>135</v>
      </c>
      <c r="B11" s="4">
        <f ca="1">INDIRECT(B$1&amp;"!H5")</f>
        <v>71300</v>
      </c>
      <c r="C11" s="4">
        <f ca="1">INDIRECT(C$1&amp;"!H5")</f>
        <v>3794</v>
      </c>
      <c r="D11" s="4">
        <f ca="1">INDIRECT(D$1&amp;"!H5")</f>
        <v>10021</v>
      </c>
      <c r="E11" s="4">
        <f ca="1">INDIRECT(E$1&amp;"!G5")</f>
        <v>35879</v>
      </c>
      <c r="F11" s="228">
        <f ca="1">SUM(B11:E11)</f>
        <v>120994</v>
      </c>
      <c r="G11" s="4">
        <f ca="1">INDIRECT(G$1&amp;"!H5")</f>
        <v>2289</v>
      </c>
    </row>
    <row r="12" spans="1:7">
      <c r="A12" s="60" t="s">
        <v>136</v>
      </c>
      <c r="B12" s="57">
        <f ca="1">B11/B4</f>
        <v>0.59864151196863225</v>
      </c>
      <c r="C12" s="57">
        <f t="shared" ref="C12:E12" ca="1" si="2">C11/C4</f>
        <v>0.13164925916929804</v>
      </c>
      <c r="D12" s="57">
        <f t="shared" ca="1" si="2"/>
        <v>0.14049181247196052</v>
      </c>
      <c r="E12" s="57">
        <f t="shared" ca="1" si="2"/>
        <v>0.42857996081991495</v>
      </c>
      <c r="F12" s="229">
        <f ca="1">AVERAGE(B12:E12)</f>
        <v>0.32484063610745145</v>
      </c>
      <c r="G12" s="57">
        <f ca="1">ABS(G11/G4)</f>
        <v>0.38561320754716982</v>
      </c>
    </row>
    <row r="13" spans="1:7">
      <c r="A13" s="60" t="s">
        <v>17</v>
      </c>
      <c r="B13" s="4">
        <f ca="1">ROUND(INDIRECT(B$1&amp;"!H31"),0)</f>
        <v>284</v>
      </c>
      <c r="C13" s="4">
        <f ca="1">ROUND(INDIRECT(C$1&amp;"!H31"),0)</f>
        <v>308</v>
      </c>
      <c r="D13" s="4">
        <f ca="1">ROUND(INDIRECT(D$1&amp;"!H31"),0)</f>
        <v>3306</v>
      </c>
      <c r="E13" s="4">
        <f ca="1">ROUND(INDIRECT(E$1&amp;"!G31"),0)</f>
        <v>0</v>
      </c>
      <c r="F13" s="228">
        <f ca="1">SUM(B13:E13)</f>
        <v>3898</v>
      </c>
      <c r="G13" s="4">
        <f ca="1">ROUND(INDIRECT(G$1&amp;"!H31"),0)</f>
        <v>0</v>
      </c>
    </row>
    <row r="14" spans="1:7">
      <c r="A14" s="60" t="s">
        <v>312</v>
      </c>
      <c r="B14" s="4">
        <f ca="1">ROUND(INDIRECT(B$1&amp;"!H27"),1)/1000000</f>
        <v>407.53665989999996</v>
      </c>
      <c r="C14" s="4">
        <f ca="1">ROUND(INDIRECT(C$1&amp;"!H27"),1)/1000000</f>
        <v>1475.7111889</v>
      </c>
      <c r="D14" s="4">
        <f ca="1">ROUND(INDIRECT(D$1&amp;"!H27"),1)/1000000</f>
        <v>1335.7457107999999</v>
      </c>
      <c r="E14" s="4">
        <f ca="1">ROUND(INDIRECT(E$1&amp;"!G27"),1)/1000000</f>
        <v>0</v>
      </c>
      <c r="F14" s="228">
        <f ca="1">SUM(B14:E14)</f>
        <v>3218.9935595999996</v>
      </c>
      <c r="G14" s="4">
        <f ca="1">ROUND(INDIRECT(G$1&amp;"!H27"),1)/1000000</f>
        <v>0</v>
      </c>
    </row>
    <row r="15" spans="1:7">
      <c r="A15" s="60" t="s">
        <v>313</v>
      </c>
      <c r="B15" s="4">
        <f ca="1">ROUND(INDIRECT(B$1&amp;"!H28"),1)/1000000</f>
        <v>452.1922702</v>
      </c>
      <c r="C15" s="4">
        <f ca="1">ROUND(INDIRECT(C$1&amp;"!H28"),1)/1000000</f>
        <v>27.1751191</v>
      </c>
      <c r="D15" s="4">
        <f ca="1">ROUND(INDIRECT(D$1&amp;"!H28"),1)/1000000</f>
        <v>213.65108930000002</v>
      </c>
      <c r="E15" s="4">
        <f ca="1">ROUND(INDIRECT(E$1&amp;"!G28"),1)/1000000</f>
        <v>0</v>
      </c>
      <c r="F15" s="228">
        <f ca="1">SUM(B15:E15)</f>
        <v>693.01847859999998</v>
      </c>
      <c r="G15" s="4">
        <f ca="1">ROUND(INDIRECT(G$1&amp;"!H28"),1)/1000000</f>
        <v>0</v>
      </c>
    </row>
    <row r="16" spans="1:7">
      <c r="A16" s="60" t="s">
        <v>314</v>
      </c>
      <c r="B16" s="4">
        <f ca="1">ROUND(INDIRECT(B$1&amp;"!H29"),1)/1000000</f>
        <v>147.13891169999999</v>
      </c>
      <c r="C16" s="4">
        <f ca="1">ROUND(INDIRECT(C$1&amp;"!H29"),1)/1000000</f>
        <v>8.908135699999999</v>
      </c>
      <c r="D16" s="4">
        <f ca="1">ROUND(INDIRECT(D$1&amp;"!H29"),1)/1000000</f>
        <v>75.432982699999997</v>
      </c>
      <c r="E16" s="4">
        <f ca="1">ROUND(INDIRECT(E$1&amp;"!G29"),1)/1000000</f>
        <v>0</v>
      </c>
      <c r="F16" s="228">
        <f ca="1">SUM(B16:E16)</f>
        <v>231.48003009999999</v>
      </c>
      <c r="G16" s="4">
        <f ca="1">ROUND(INDIRECT(G$1&amp;"!H29"),1)/1000000</f>
        <v>0</v>
      </c>
    </row>
    <row r="17" spans="1:7">
      <c r="A17" s="60" t="s">
        <v>315</v>
      </c>
      <c r="B17" s="57">
        <f ca="1">B16/B15</f>
        <v>0.32539015236797825</v>
      </c>
      <c r="C17" s="57">
        <f t="shared" ref="C17:G17" ca="1" si="3">C16/C15</f>
        <v>0.32780484483690814</v>
      </c>
      <c r="D17" s="57">
        <f t="shared" ca="1" si="3"/>
        <v>0.35306622094531015</v>
      </c>
      <c r="E17" s="57" t="e">
        <f t="shared" ca="1" si="3"/>
        <v>#DIV/0!</v>
      </c>
      <c r="F17" s="229" t="e">
        <f ca="1">AVERAGE(B17:E17)</f>
        <v>#DIV/0!</v>
      </c>
      <c r="G17" s="57" t="e">
        <f t="shared" ca="1" si="3"/>
        <v>#DIV/0!</v>
      </c>
    </row>
    <row r="18" spans="1:7">
      <c r="A18" s="60" t="s">
        <v>137</v>
      </c>
      <c r="B18" s="4">
        <f t="shared" ref="B18:G20" ca="1" si="4">ROUND(INDIRECT(B$1&amp;"!H17")*B3,1)</f>
        <v>9114.4</v>
      </c>
      <c r="C18" s="4">
        <f t="shared" ca="1" si="4"/>
        <v>5746.4</v>
      </c>
      <c r="D18" s="4">
        <f t="shared" ca="1" si="4"/>
        <v>9673</v>
      </c>
      <c r="E18" s="4">
        <f ca="1">ROUND(INDIRECT(E$1&amp;"!G17")*E3,1)</f>
        <v>6780.8</v>
      </c>
      <c r="F18" s="228">
        <f ca="1">SUM(B18:E18)</f>
        <v>31314.6</v>
      </c>
      <c r="G18" s="4">
        <f t="shared" ca="1" si="4"/>
        <v>0</v>
      </c>
    </row>
    <row r="19" spans="1:7">
      <c r="A19" s="60" t="s">
        <v>138</v>
      </c>
      <c r="B19" s="4">
        <f t="shared" ca="1" si="4"/>
        <v>2752.9</v>
      </c>
      <c r="C19" s="4">
        <f t="shared" ca="1" si="4"/>
        <v>1420.2</v>
      </c>
      <c r="D19" s="4">
        <f t="shared" ca="1" si="4"/>
        <v>2439.4</v>
      </c>
      <c r="E19" s="4">
        <f ca="1">ROUND(INDIRECT(E$1&amp;"!G17")*E4,1)</f>
        <v>2863.1</v>
      </c>
      <c r="F19" s="228">
        <f ca="1">SUM(B19:E19)</f>
        <v>9475.6</v>
      </c>
      <c r="G19" s="4">
        <f t="shared" ca="1" si="4"/>
        <v>0</v>
      </c>
    </row>
    <row r="20" spans="1:7">
      <c r="A20" s="60" t="s">
        <v>140</v>
      </c>
      <c r="B20" s="4">
        <f t="shared" ca="1" si="4"/>
        <v>446.1</v>
      </c>
      <c r="C20" s="4">
        <f t="shared" ca="1" si="4"/>
        <v>276.89999999999998</v>
      </c>
      <c r="D20" s="4">
        <f t="shared" ca="1" si="4"/>
        <v>388.4</v>
      </c>
      <c r="E20" s="4">
        <f ca="1">ROUND(INDIRECT(E$1&amp;"!G17")*E5,1)</f>
        <v>375.4</v>
      </c>
      <c r="F20" s="228">
        <f ca="1">SUM(B20:E20)</f>
        <v>1486.8000000000002</v>
      </c>
      <c r="G20" s="4">
        <f t="shared" ca="1" si="4"/>
        <v>0</v>
      </c>
    </row>
    <row r="21" spans="1:7">
      <c r="A21" s="60" t="s">
        <v>1361</v>
      </c>
      <c r="B21" s="4">
        <f ca="1">(B4-0.1*B3)*0.25*INDIRECT(B$1&amp;"!H17")*INDIRECT(B$1&amp;"!H30")</f>
        <v>149.7994471618573</v>
      </c>
      <c r="C21" s="4">
        <f t="shared" ref="C21:D21" ca="1" si="5">(C4-0.1*C3)*0.25*INDIRECT(C$1&amp;"!H17")*INDIRECT(C$1&amp;"!H30")</f>
        <v>69.292259518490496</v>
      </c>
      <c r="D21" s="4">
        <f t="shared" ca="1" si="5"/>
        <v>129.93882710109381</v>
      </c>
      <c r="E21" s="4">
        <f ca="1">(E4-0.1*E3)*0.25*INDIRECT(E$1&amp;"!G17")*INDIRECT(E$1&amp;"!G30")</f>
        <v>0</v>
      </c>
      <c r="F21" s="228">
        <f ca="1">SUM(B21:E21)</f>
        <v>349.03053378144159</v>
      </c>
      <c r="G21" s="4">
        <f ca="1">(G4-0.1*G3)*0.25*INDIRECT(G$1&amp;"!H17")*INDIRECT(G$1&amp;"!H30")</f>
        <v>0</v>
      </c>
    </row>
    <row r="22" spans="1:7">
      <c r="A22" s="60" t="s">
        <v>1362</v>
      </c>
      <c r="B22" s="4">
        <f ca="1">B20-B16</f>
        <v>298.96108830000003</v>
      </c>
      <c r="C22" s="4">
        <f t="shared" ref="C22:G22" ca="1" si="6">C20-C16</f>
        <v>267.99186429999997</v>
      </c>
      <c r="D22" s="4">
        <f t="shared" ca="1" si="6"/>
        <v>312.96701729999995</v>
      </c>
      <c r="E22" s="4">
        <f t="shared" ca="1" si="6"/>
        <v>375.4</v>
      </c>
      <c r="F22" s="228">
        <f ca="1">SUM(B22:E22)</f>
        <v>1255.3199698999999</v>
      </c>
      <c r="G22" s="4">
        <f t="shared" ca="1" si="6"/>
        <v>0</v>
      </c>
    </row>
    <row r="23" spans="1:7">
      <c r="A23" s="60" t="s">
        <v>1363</v>
      </c>
      <c r="B23" s="4">
        <f ca="1">(B4-0.1*B3)*INDIRECT(B$1&amp;"!H17")*(INDIRECT(B$1&amp;"!H30")+0.5)</f>
        <v>1519.9352238131867</v>
      </c>
      <c r="C23" s="4">
        <f t="shared" ref="C23:D23" ca="1" si="7">(C4-0.1*C3)*INDIRECT(C$1&amp;"!H17")*(INDIRECT(C$1&amp;"!H30")+0.5)</f>
        <v>699.93435593470872</v>
      </c>
      <c r="D23" s="4">
        <f t="shared" ca="1" si="7"/>
        <v>1255.8145484043753</v>
      </c>
      <c r="E23" s="4">
        <f ca="1">(E4-0.1*E3)*INDIRECT(E$1&amp;"!G17")*(INDIRECT(E$1&amp;"!G30")+0.5)</f>
        <v>1092.5019</v>
      </c>
      <c r="F23" s="228">
        <f ca="1">SUM(B23:E23)</f>
        <v>4568.1860281522704</v>
      </c>
      <c r="G23" s="4"/>
    </row>
    <row r="24" spans="1:7">
      <c r="A24" s="60" t="s">
        <v>311</v>
      </c>
      <c r="B24" s="159">
        <f ca="1">B16/B19</f>
        <v>5.3448694721929597E-2</v>
      </c>
      <c r="C24" s="159">
        <f ca="1">C16/C19</f>
        <v>6.2724515561188559E-3</v>
      </c>
      <c r="D24" s="159">
        <f ca="1">D16/D19</f>
        <v>3.0922760801836514E-2</v>
      </c>
      <c r="E24" s="159">
        <f ca="1">E16/E19</f>
        <v>0</v>
      </c>
      <c r="F24" s="229">
        <f ca="1">AVERAGE(B24:E24)</f>
        <v>2.2660976769971242E-2</v>
      </c>
      <c r="G24" s="159" t="e">
        <f ca="1">G16/G19</f>
        <v>#DIV/0!</v>
      </c>
    </row>
    <row r="27" spans="1:7">
      <c r="A27" s="60"/>
    </row>
  </sheetData>
  <pageMargins left="0.7" right="0.7" top="0.78740157499999996" bottom="0.78740157499999996"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A8" sqref="A8:H8"/>
    </sheetView>
  </sheetViews>
  <sheetFormatPr baseColWidth="10" defaultRowHeight="14.4"/>
  <cols>
    <col min="1" max="1" width="24.109375" bestFit="1" customWidth="1"/>
  </cols>
  <sheetData>
    <row r="1" spans="1:8">
      <c r="A1">
        <v>2021</v>
      </c>
      <c r="B1" t="s">
        <v>72</v>
      </c>
      <c r="C1" t="s">
        <v>134</v>
      </c>
      <c r="D1" t="s">
        <v>78</v>
      </c>
      <c r="E1" t="s">
        <v>73</v>
      </c>
      <c r="F1" t="s">
        <v>106</v>
      </c>
      <c r="G1" s="60" t="s">
        <v>310</v>
      </c>
      <c r="H1" t="s">
        <v>91</v>
      </c>
    </row>
    <row r="2" spans="1:8">
      <c r="A2" s="60" t="s">
        <v>139</v>
      </c>
      <c r="B2">
        <f ca="1">INDIRECT(B$1&amp;"!G14")</f>
        <v>145000</v>
      </c>
      <c r="C2">
        <f t="shared" ref="C2:H2" ca="1" si="0">INDIRECT(C$1&amp;"!G14")</f>
        <v>71970</v>
      </c>
      <c r="D2">
        <f t="shared" ca="1" si="0"/>
        <v>156500</v>
      </c>
      <c r="E2">
        <f t="shared" ca="1" si="0"/>
        <v>221000</v>
      </c>
      <c r="F2">
        <f t="shared" ca="1" si="0"/>
        <v>1608000</v>
      </c>
      <c r="G2">
        <f t="shared" ref="G2:G7" ca="1" si="1">SUM(B2:F2)</f>
        <v>2202470</v>
      </c>
      <c r="H2">
        <f t="shared" ca="1" si="0"/>
        <v>9400</v>
      </c>
    </row>
    <row r="3" spans="1:8">
      <c r="A3" t="s">
        <v>5</v>
      </c>
      <c r="B3">
        <f ca="1">INDIRECT(B$1&amp;"!G2")</f>
        <v>365817</v>
      </c>
      <c r="C3">
        <f t="shared" ref="C3:H3" ca="1" si="2">INDIRECT(C$1&amp;"!G2")</f>
        <v>117929</v>
      </c>
      <c r="D3">
        <f t="shared" ca="1" si="2"/>
        <v>257637</v>
      </c>
      <c r="E3">
        <f t="shared" ca="1" si="2"/>
        <v>198270</v>
      </c>
      <c r="F3">
        <f t="shared" ca="1" si="2"/>
        <v>469822</v>
      </c>
      <c r="G3">
        <f t="shared" ca="1" si="1"/>
        <v>1409475</v>
      </c>
      <c r="H3">
        <f t="shared" ca="1" si="2"/>
        <v>24996056000</v>
      </c>
    </row>
    <row r="4" spans="1:8">
      <c r="A4" t="s">
        <v>127</v>
      </c>
      <c r="B4">
        <f ca="1">INDIRECT(B$1&amp;"!G3")</f>
        <v>109207</v>
      </c>
      <c r="C4">
        <f t="shared" ref="C4:H4" ca="1" si="3">INDIRECT(C$1&amp;"!G3")</f>
        <v>47284</v>
      </c>
      <c r="D4">
        <f t="shared" ca="1" si="3"/>
        <v>90734</v>
      </c>
      <c r="E4">
        <f t="shared" ca="1" si="3"/>
        <v>83716</v>
      </c>
      <c r="F4">
        <f t="shared" ca="1" si="3"/>
        <v>38151</v>
      </c>
      <c r="G4">
        <f t="shared" ca="1" si="1"/>
        <v>369092</v>
      </c>
      <c r="H4">
        <f t="shared" ca="1" si="3"/>
        <v>3199349000</v>
      </c>
    </row>
    <row r="5" spans="1:8">
      <c r="A5" t="s">
        <v>129</v>
      </c>
      <c r="B5">
        <f ca="1">INDIRECT(B$1&amp;"!G6")</f>
        <v>14527</v>
      </c>
      <c r="C5">
        <f t="shared" ref="C5:H5" ca="1" si="4">INDIRECT(C$1&amp;"!G6")</f>
        <v>7914</v>
      </c>
      <c r="D5">
        <f t="shared" ca="1" si="4"/>
        <v>14701</v>
      </c>
      <c r="E5">
        <f t="shared" ca="1" si="4"/>
        <v>10978</v>
      </c>
      <c r="F5">
        <f t="shared" ca="1" si="4"/>
        <v>4791</v>
      </c>
      <c r="G5">
        <f t="shared" ca="1" si="1"/>
        <v>52911</v>
      </c>
      <c r="H5">
        <f t="shared" ca="1" si="4"/>
        <v>437954000</v>
      </c>
    </row>
    <row r="6" spans="1:8">
      <c r="A6" t="s">
        <v>128</v>
      </c>
      <c r="B6">
        <f ca="1">INDIRECT(B$1&amp;"!G8")+INDIRECT(B$1&amp;"!G11")</f>
        <v>19301</v>
      </c>
      <c r="C6">
        <f t="shared" ref="C6:H6" ca="1" si="5">INDIRECT(C$1&amp;"!G8")+INDIRECT(C$1&amp;"!G11")</f>
        <v>7305</v>
      </c>
      <c r="D6">
        <f t="shared" ca="1" si="5"/>
        <v>12818</v>
      </c>
      <c r="E6">
        <f t="shared" ca="1" si="5"/>
        <v>16680</v>
      </c>
      <c r="F6">
        <f t="shared" ca="1" si="5"/>
        <v>5101</v>
      </c>
      <c r="G6">
        <f t="shared" ca="1" si="1"/>
        <v>61205</v>
      </c>
      <c r="H6">
        <f t="shared" ca="1" si="5"/>
        <v>367888000</v>
      </c>
    </row>
    <row r="7" spans="1:8">
      <c r="A7" t="s">
        <v>130</v>
      </c>
      <c r="B7">
        <f ca="1">INDIRECT(B$1&amp;"!G13")</f>
        <v>25385</v>
      </c>
      <c r="C7">
        <f t="shared" ref="C7:H7" ca="1" si="6">INDIRECT(C$1&amp;"!G13")</f>
        <v>8525</v>
      </c>
      <c r="D7">
        <f t="shared" ca="1" si="6"/>
        <v>13412</v>
      </c>
      <c r="E7">
        <f t="shared" ca="1" si="6"/>
        <v>16000</v>
      </c>
      <c r="F7">
        <f t="shared" ca="1" si="6"/>
        <v>3700</v>
      </c>
      <c r="G7">
        <f t="shared" ca="1" si="1"/>
        <v>67022</v>
      </c>
      <c r="H7">
        <f t="shared" ca="1" si="6"/>
        <v>0</v>
      </c>
    </row>
    <row r="8" spans="1:8">
      <c r="A8" s="230" t="s">
        <v>131</v>
      </c>
      <c r="B8" s="231">
        <f ca="1">B5/B$4</f>
        <v>0.13302260844085087</v>
      </c>
      <c r="C8" s="231">
        <f t="shared" ref="C8:H8" ca="1" si="7">C5/C$4</f>
        <v>0.16737162676592504</v>
      </c>
      <c r="D8" s="231">
        <f t="shared" ca="1" si="7"/>
        <v>0.16202305640663919</v>
      </c>
      <c r="E8" s="231">
        <f t="shared" ca="1" si="7"/>
        <v>0.13113383343685794</v>
      </c>
      <c r="F8" s="231">
        <f t="shared" ca="1" si="7"/>
        <v>0.12557993237398757</v>
      </c>
      <c r="G8" s="232">
        <f ca="1">AVERAGE(B8:E8)</f>
        <v>0.14838778126256824</v>
      </c>
      <c r="H8" s="231">
        <f t="shared" ca="1" si="7"/>
        <v>0.13688847324877654</v>
      </c>
    </row>
    <row r="9" spans="1:8">
      <c r="A9" t="s">
        <v>132</v>
      </c>
      <c r="B9" s="57">
        <f t="shared" ref="B9:H10" ca="1" si="8">B6/B$4</f>
        <v>0.17673775490582105</v>
      </c>
      <c r="C9" s="57">
        <f t="shared" ca="1" si="8"/>
        <v>0.1544920057524744</v>
      </c>
      <c r="D9" s="57">
        <f t="shared" ca="1" si="8"/>
        <v>0.14127008618599424</v>
      </c>
      <c r="E9" s="57">
        <f t="shared" ca="1" si="8"/>
        <v>0.19924506665392516</v>
      </c>
      <c r="F9" s="57">
        <f t="shared" ca="1" si="8"/>
        <v>0.1337055385179943</v>
      </c>
      <c r="G9" s="35">
        <f ca="1">AVERAGE(B9:F9)</f>
        <v>0.16109009040324182</v>
      </c>
      <c r="H9" s="57">
        <f t="shared" ca="1" si="8"/>
        <v>0.11498839295119101</v>
      </c>
    </row>
    <row r="10" spans="1:8">
      <c r="A10" t="s">
        <v>133</v>
      </c>
      <c r="B10" s="57">
        <f t="shared" ca="1" si="8"/>
        <v>0.23244846942045841</v>
      </c>
      <c r="C10" s="57">
        <f t="shared" ca="1" si="8"/>
        <v>0.18029354538533118</v>
      </c>
      <c r="D10" s="57">
        <f t="shared" ca="1" si="8"/>
        <v>0.14781669495448232</v>
      </c>
      <c r="E10" s="57">
        <f t="shared" ca="1" si="8"/>
        <v>0.19112236609489225</v>
      </c>
      <c r="F10" s="57">
        <f t="shared" ca="1" si="8"/>
        <v>9.698304107362847E-2</v>
      </c>
      <c r="G10" s="35">
        <f ca="1">AVERAGE(B10:F10)</f>
        <v>0.16973282338575851</v>
      </c>
      <c r="H10" s="57">
        <f t="shared" ca="1" si="8"/>
        <v>0</v>
      </c>
    </row>
    <row r="11" spans="1:8">
      <c r="A11" s="60" t="s">
        <v>135</v>
      </c>
      <c r="B11">
        <f ca="1">INDIRECT(B$1&amp;"!G5")</f>
        <v>68700</v>
      </c>
      <c r="C11">
        <f t="shared" ref="C11:H11" ca="1" si="9">INDIRECT(C$1&amp;"!G5")</f>
        <v>3615</v>
      </c>
      <c r="D11">
        <f t="shared" ca="1" si="9"/>
        <v>13718</v>
      </c>
      <c r="E11">
        <f t="shared" ca="1" si="9"/>
        <v>35879</v>
      </c>
      <c r="F11">
        <f t="shared" ca="1" si="9"/>
        <v>2272</v>
      </c>
      <c r="G11">
        <f ca="1">SUM(B11:F11)</f>
        <v>124184</v>
      </c>
      <c r="H11">
        <f t="shared" ca="1" si="9"/>
        <v>410285000</v>
      </c>
    </row>
    <row r="12" spans="1:8">
      <c r="A12" s="60" t="s">
        <v>136</v>
      </c>
      <c r="B12" s="57">
        <f ca="1">B11/B4</f>
        <v>0.6290805534443763</v>
      </c>
      <c r="C12" s="57">
        <f t="shared" ref="C12:H12" ca="1" si="10">C11/C4</f>
        <v>7.6452922764571524E-2</v>
      </c>
      <c r="D12" s="57">
        <f t="shared" ca="1" si="10"/>
        <v>0.15118919038067319</v>
      </c>
      <c r="E12" s="57">
        <f t="shared" ca="1" si="10"/>
        <v>0.42857996081991495</v>
      </c>
      <c r="F12" s="57">
        <f t="shared" ca="1" si="10"/>
        <v>5.9552829545752403E-2</v>
      </c>
      <c r="G12" s="35">
        <f ca="1">AVERAGE(B12:F12)</f>
        <v>0.26897109139105768</v>
      </c>
      <c r="H12" s="57">
        <f t="shared" ca="1" si="10"/>
        <v>0.12824015135579145</v>
      </c>
    </row>
    <row r="13" spans="1:8">
      <c r="A13" s="60" t="s">
        <v>17</v>
      </c>
      <c r="B13">
        <f ca="1">ROUND(INDIRECT(B$1&amp;"!G31"),0)</f>
        <v>262</v>
      </c>
      <c r="C13">
        <f ca="1">ROUND(INDIRECT(C$1&amp;"!G31"),0)</f>
        <v>287</v>
      </c>
      <c r="D13">
        <f ca="1">ROUND(INDIRECT(D$1&amp;"!G31"),0)</f>
        <v>2720</v>
      </c>
      <c r="E13">
        <f ca="1">ROUND(INDIRECT(E$1&amp;"!G31"),0)</f>
        <v>0</v>
      </c>
      <c r="F13">
        <f ca="1">ROUND(INDIRECT(F$1&amp;"!G31"),0)</f>
        <v>36456</v>
      </c>
      <c r="G13">
        <f ca="1">SUM(B13:F13)</f>
        <v>39725</v>
      </c>
      <c r="H13">
        <f ca="1">INDIRECT(H$1&amp;"!G31")</f>
        <v>0</v>
      </c>
    </row>
    <row r="14" spans="1:8">
      <c r="A14" s="60" t="s">
        <v>312</v>
      </c>
      <c r="B14">
        <f ca="1">ROUND(INDIRECT(B$1&amp;"!G27"),1)</f>
        <v>404.1</v>
      </c>
      <c r="C14">
        <f ca="1">ROUND(INDIRECT(C$1&amp;"!G27"),1)</f>
        <v>1492.4</v>
      </c>
      <c r="D14">
        <f ca="1">ROUND(INDIRECT(D$1&amp;"!G27"),1)</f>
        <v>1216738738</v>
      </c>
      <c r="E14">
        <f ca="1">ROUND(INDIRECT(E$1&amp;"!G27"),1)</f>
        <v>0</v>
      </c>
      <c r="F14">
        <f ca="1">ROUND(INDIRECT(F$1&amp;"!G27"),1)</f>
        <v>5846.1</v>
      </c>
      <c r="G14">
        <f ca="1">SUM(B14:F14)</f>
        <v>1216746480.5999999</v>
      </c>
      <c r="H14">
        <f ca="1">INDIRECT(H$1&amp;"!G27")</f>
        <v>0</v>
      </c>
    </row>
    <row r="15" spans="1:8">
      <c r="A15" s="60" t="s">
        <v>313</v>
      </c>
      <c r="B15">
        <f ca="1">ROUND(INDIRECT(B$1&amp;"!G28"),1)</f>
        <v>362.8</v>
      </c>
      <c r="C15">
        <f ca="1">ROUND(INDIRECT(C$1&amp;"!G28"),1)</f>
        <v>42.9</v>
      </c>
      <c r="D15">
        <f ca="1">ROUND(INDIRECT(D$1&amp;"!G28"),1)</f>
        <v>194616052</v>
      </c>
      <c r="E15">
        <f ca="1">ROUND(INDIRECT(E$1&amp;"!G28"),1)</f>
        <v>0</v>
      </c>
      <c r="F15">
        <f ca="1">ROUND(INDIRECT(F$1&amp;"!G28"),1)</f>
        <v>189.3</v>
      </c>
      <c r="G15">
        <f ca="1">SUM(B15:F15)</f>
        <v>194616647</v>
      </c>
      <c r="H15">
        <f ca="1">INDIRECT(H$1&amp;"!G28")</f>
        <v>0</v>
      </c>
    </row>
    <row r="16" spans="1:8">
      <c r="A16" s="60" t="s">
        <v>314</v>
      </c>
      <c r="B16">
        <f ca="1">ROUND(INDIRECT(B$1&amp;"!G29"),1)</f>
        <v>118.1</v>
      </c>
      <c r="C16">
        <f ca="1">ROUND(INDIRECT(C$1&amp;"!G29"),1)</f>
        <v>14.1</v>
      </c>
      <c r="D16">
        <f ca="1">ROUND(INDIRECT(D$1&amp;"!G29"),1)</f>
        <v>68712354</v>
      </c>
      <c r="E16">
        <f ca="1">ROUND(INDIRECT(E$1&amp;"!G29"),1)</f>
        <v>0</v>
      </c>
      <c r="F16">
        <f ca="1">ROUND(INDIRECT(F$1&amp;"!G29"),1)</f>
        <v>59.5</v>
      </c>
      <c r="G16">
        <f ca="1">SUM(B16:F16)</f>
        <v>68712545.700000003</v>
      </c>
      <c r="H16">
        <f ca="1">INDIRECT(H$1&amp;"!G29")</f>
        <v>0</v>
      </c>
    </row>
    <row r="17" spans="1:8">
      <c r="A17" s="60" t="s">
        <v>315</v>
      </c>
      <c r="B17" s="57">
        <f ca="1">B16/B15</f>
        <v>0.32552370452039686</v>
      </c>
      <c r="C17" s="57">
        <f t="shared" ref="C17:H17" ca="1" si="11">C16/C15</f>
        <v>0.3286713286713287</v>
      </c>
      <c r="D17" s="57">
        <f t="shared" ca="1" si="11"/>
        <v>0.35306622086856432</v>
      </c>
      <c r="E17" s="57" t="e">
        <f t="shared" ca="1" si="11"/>
        <v>#DIV/0!</v>
      </c>
      <c r="F17" s="57">
        <f t="shared" ca="1" si="11"/>
        <v>0.31431590068674059</v>
      </c>
      <c r="G17" s="35" t="e">
        <f ca="1">AVERAGE(B17:F17)</f>
        <v>#DIV/0!</v>
      </c>
      <c r="H17" s="57" t="e">
        <f t="shared" ca="1" si="11"/>
        <v>#DIV/0!</v>
      </c>
    </row>
    <row r="18" spans="1:8">
      <c r="A18" s="60" t="s">
        <v>137</v>
      </c>
      <c r="B18">
        <f t="shared" ref="B18:F20" ca="1" si="12">ROUND(INDIRECT(B$1&amp;"!G17")*B3,1)</f>
        <v>8455.4</v>
      </c>
      <c r="C18">
        <f t="shared" ca="1" si="12"/>
        <v>5811.4</v>
      </c>
      <c r="D18">
        <f t="shared" ca="1" si="12"/>
        <v>8811.2000000000007</v>
      </c>
      <c r="E18">
        <f t="shared" ca="1" si="12"/>
        <v>6780.8</v>
      </c>
      <c r="F18">
        <f t="shared" ca="1" si="12"/>
        <v>37326</v>
      </c>
      <c r="G18">
        <f ca="1">SUM(B18:F18)</f>
        <v>67184.800000000003</v>
      </c>
      <c r="H18">
        <f ca="1">INDIRECT(H$1&amp;"!G17")*H3</f>
        <v>1320273698.7615821</v>
      </c>
    </row>
    <row r="19" spans="1:8">
      <c r="A19" s="60" t="s">
        <v>138</v>
      </c>
      <c r="B19">
        <f t="shared" ca="1" si="12"/>
        <v>2524.1999999999998</v>
      </c>
      <c r="C19">
        <f t="shared" ca="1" si="12"/>
        <v>2330.1</v>
      </c>
      <c r="D19">
        <f t="shared" ca="1" si="12"/>
        <v>3103.1</v>
      </c>
      <c r="E19">
        <f t="shared" ca="1" si="12"/>
        <v>2863.1</v>
      </c>
      <c r="F19">
        <f t="shared" ca="1" si="12"/>
        <v>3031</v>
      </c>
      <c r="G19">
        <f ca="1">SUM(B19:F19)</f>
        <v>13851.5</v>
      </c>
      <c r="H19">
        <f ca="1">INDIRECT(H$1&amp;"!G17")*H4</f>
        <v>168987312.95285821</v>
      </c>
    </row>
    <row r="20" spans="1:8">
      <c r="A20" s="60" t="s">
        <v>140</v>
      </c>
      <c r="B20">
        <f t="shared" ca="1" si="12"/>
        <v>335.8</v>
      </c>
      <c r="C20">
        <f t="shared" ca="1" si="12"/>
        <v>390</v>
      </c>
      <c r="D20">
        <f t="shared" ca="1" si="12"/>
        <v>502.8</v>
      </c>
      <c r="E20">
        <f t="shared" ca="1" si="12"/>
        <v>375.4</v>
      </c>
      <c r="F20">
        <f t="shared" ca="1" si="12"/>
        <v>380.6</v>
      </c>
      <c r="G20">
        <f ca="1">SUM(B20:F20)</f>
        <v>1984.6</v>
      </c>
      <c r="H20">
        <f ca="1">INDIRECT(H$1&amp;"!G17")*H5</f>
        <v>23132415.268529963</v>
      </c>
    </row>
    <row r="21" spans="1:8">
      <c r="A21" s="60" t="s">
        <v>141</v>
      </c>
      <c r="B21">
        <f ca="1">B20-B16</f>
        <v>217.70000000000002</v>
      </c>
      <c r="C21">
        <f t="shared" ref="C21:H21" ca="1" si="13">C20-C16</f>
        <v>375.9</v>
      </c>
      <c r="D21">
        <f t="shared" ca="1" si="13"/>
        <v>-68711851.200000003</v>
      </c>
      <c r="E21">
        <f t="shared" ca="1" si="13"/>
        <v>375.4</v>
      </c>
      <c r="F21">
        <f t="shared" ca="1" si="13"/>
        <v>321.10000000000002</v>
      </c>
      <c r="G21">
        <f ca="1">SUM(B21:F21)</f>
        <v>-68710561.100000009</v>
      </c>
      <c r="H21">
        <f t="shared" ca="1" si="13"/>
        <v>23132415.268529963</v>
      </c>
    </row>
    <row r="22" spans="1:8">
      <c r="A22" s="60" t="s">
        <v>311</v>
      </c>
      <c r="B22" s="159">
        <f ca="1">B16/B19</f>
        <v>4.6787100863639963E-2</v>
      </c>
      <c r="C22" s="159">
        <f ca="1">C16/C19</f>
        <v>6.0512424359469548E-3</v>
      </c>
      <c r="D22" s="159">
        <f ca="1">D16/D19</f>
        <v>22143.132351519449</v>
      </c>
      <c r="E22" s="159">
        <f ca="1">E16/E19</f>
        <v>0</v>
      </c>
      <c r="F22" s="159">
        <f ca="1">F16/F19</f>
        <v>1.9630484988452657E-2</v>
      </c>
      <c r="G22" s="35">
        <f ca="1">AVERAGE(B22:F22)</f>
        <v>4428.6409640695474</v>
      </c>
    </row>
  </sheetData>
  <pageMargins left="0.7" right="0.7" top="0.78740157499999996" bottom="0.78740157499999996"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A2" sqref="A2"/>
    </sheetView>
  </sheetViews>
  <sheetFormatPr baseColWidth="10" defaultRowHeight="14.4"/>
  <sheetData>
    <row r="1" spans="1:8">
      <c r="A1">
        <v>2020</v>
      </c>
      <c r="B1" t="s">
        <v>72</v>
      </c>
      <c r="C1" t="s">
        <v>134</v>
      </c>
      <c r="D1" t="s">
        <v>78</v>
      </c>
      <c r="E1" t="s">
        <v>73</v>
      </c>
      <c r="F1" t="s">
        <v>106</v>
      </c>
      <c r="G1" s="227" t="s">
        <v>1366</v>
      </c>
      <c r="H1" t="s">
        <v>91</v>
      </c>
    </row>
    <row r="2" spans="1:8">
      <c r="A2" s="60" t="s">
        <v>139</v>
      </c>
      <c r="B2" s="4">
        <f ca="1">INDIRECT(B$1&amp;"!F14")</f>
        <v>147000</v>
      </c>
      <c r="C2" s="4">
        <f ca="1">INDIRECT(C$1&amp;"!F14")</f>
        <v>58604</v>
      </c>
      <c r="D2" s="4">
        <f ca="1">INDIRECT(D$1&amp;"!F14")</f>
        <v>135301</v>
      </c>
      <c r="E2" s="4">
        <f ca="1">INDIRECT(E$1&amp;"!F14")</f>
        <v>181000</v>
      </c>
      <c r="F2" s="4">
        <f ca="1">INDIRECT(F$1&amp;"!F14")</f>
        <v>1298000</v>
      </c>
      <c r="G2" s="228">
        <f ca="1">SUM(B2:E2)</f>
        <v>521905</v>
      </c>
      <c r="H2" s="4">
        <f ca="1">INDIRECT(F$1&amp;"!G14")</f>
        <v>1608000</v>
      </c>
    </row>
    <row r="3" spans="1:8">
      <c r="A3" t="s">
        <v>5</v>
      </c>
      <c r="B3" s="4">
        <f ca="1">INDIRECT(B$1&amp;"!F2")</f>
        <v>274515</v>
      </c>
      <c r="C3" s="4">
        <f ca="1">INDIRECT(C$1&amp;"!F2")</f>
        <v>85965</v>
      </c>
      <c r="D3" s="4">
        <f ca="1">INDIRECT(D$1&amp;"!F2")</f>
        <v>182527</v>
      </c>
      <c r="E3" s="4">
        <f ca="1">INDIRECT(E$1&amp;"!F2")</f>
        <v>168088</v>
      </c>
      <c r="F3" s="4">
        <f ca="1">INDIRECT(F$1&amp;"!F2")</f>
        <v>386064</v>
      </c>
      <c r="G3" s="228">
        <f t="shared" ref="G3:G7" ca="1" si="0">SUM(B3:E3)</f>
        <v>711095</v>
      </c>
      <c r="H3" s="4">
        <f ca="1">INDIRECT(F$1&amp;"!G2")</f>
        <v>469822</v>
      </c>
    </row>
    <row r="4" spans="1:8">
      <c r="A4" t="s">
        <v>127</v>
      </c>
      <c r="B4" s="4">
        <f ca="1">INDIRECT(B$1&amp;"!F3")</f>
        <v>67091</v>
      </c>
      <c r="C4" s="4">
        <f ca="1">INDIRECT(C$1&amp;"!F3")</f>
        <v>33180</v>
      </c>
      <c r="D4" s="4">
        <f ca="1">INDIRECT(D$1&amp;"!F3")</f>
        <v>48082</v>
      </c>
      <c r="E4" s="4">
        <f ca="1">INDIRECT(E$1&amp;"!F3")</f>
        <v>71102</v>
      </c>
      <c r="F4" s="4">
        <f ca="1">INDIRECT(F$1&amp;"!F3")</f>
        <v>24178</v>
      </c>
      <c r="G4" s="228">
        <f t="shared" ca="1" si="0"/>
        <v>219455</v>
      </c>
      <c r="H4" s="4">
        <f ca="1">INDIRECT(F$1&amp;"!G3")</f>
        <v>38151</v>
      </c>
    </row>
    <row r="5" spans="1:8">
      <c r="A5" t="s">
        <v>129</v>
      </c>
      <c r="B5" s="4">
        <f ca="1">INDIRECT(B$1&amp;"!F6")</f>
        <v>9680</v>
      </c>
      <c r="C5" s="4">
        <f ca="1">INDIRECT(C$1&amp;"!F6")</f>
        <v>4034</v>
      </c>
      <c r="D5" s="4">
        <f ca="1">INDIRECT(D$1&amp;"!F6")</f>
        <v>7813</v>
      </c>
      <c r="E5" s="4">
        <f ca="1">INDIRECT(E$1&amp;"!F6")</f>
        <v>9831</v>
      </c>
      <c r="F5" s="4">
        <f ca="1">INDIRECT(F$1&amp;"!F6")</f>
        <v>2863</v>
      </c>
      <c r="G5" s="228">
        <f t="shared" ca="1" si="0"/>
        <v>31358</v>
      </c>
      <c r="H5" s="4">
        <f ca="1">INDIRECT(F$1&amp;"!G6")</f>
        <v>4791</v>
      </c>
    </row>
    <row r="6" spans="1:8">
      <c r="A6" t="s">
        <v>128</v>
      </c>
      <c r="B6" s="4">
        <f ca="1">INDIRECT(B$1&amp;"!F8")+INDIRECT(B$1&amp;"!F11")</f>
        <v>9895</v>
      </c>
      <c r="C6" s="4">
        <f ca="1">INDIRECT(C$1&amp;"!F8")+INDIRECT(C$1&amp;"!F11")</f>
        <v>5031</v>
      </c>
      <c r="D6" s="4">
        <f ca="1">INDIRECT(D$1&amp;"!F8")+INDIRECT(D$1&amp;"!F11")</f>
        <v>0</v>
      </c>
      <c r="E6" s="4">
        <f ca="1">INDIRECT(E$1&amp;"!F8")+INDIRECT(E$1&amp;"!F11")</f>
        <v>9981</v>
      </c>
      <c r="F6" s="4">
        <f ca="1">INDIRECT(F$1&amp;"!F8")+INDIRECT(F$1&amp;"!F11")</f>
        <v>3417</v>
      </c>
      <c r="G6" s="228">
        <f t="shared" ca="1" si="0"/>
        <v>24907</v>
      </c>
      <c r="H6" s="4">
        <f ca="1">INDIRECT(F$1&amp;"!G8")+INDIRECT(F$1&amp;"!G11")</f>
        <v>5101</v>
      </c>
    </row>
    <row r="7" spans="1:8">
      <c r="A7" t="s">
        <v>1370</v>
      </c>
      <c r="B7" s="4">
        <f ca="1">INDIRECT(B$1&amp;"!F13")</f>
        <v>9501</v>
      </c>
      <c r="C7" s="4">
        <f ca="1">INDIRECT(C$1&amp;"!F13")</f>
        <v>4229</v>
      </c>
      <c r="D7" s="4">
        <f ca="1">INDIRECT(D$1&amp;"!F13")</f>
        <v>4990</v>
      </c>
      <c r="E7" s="4">
        <f ca="1">INDIRECT(E$1&amp;"!F13")</f>
        <v>13400</v>
      </c>
      <c r="F7" s="4">
        <f ca="1">INDIRECT(F$1&amp;"!F13")</f>
        <v>1700</v>
      </c>
      <c r="G7" s="228">
        <f t="shared" ca="1" si="0"/>
        <v>32120</v>
      </c>
      <c r="H7" s="4">
        <f ca="1">INDIRECT(F$1&amp;"!G13")</f>
        <v>3700</v>
      </c>
    </row>
    <row r="8" spans="1:8">
      <c r="A8" t="s">
        <v>131</v>
      </c>
      <c r="B8" s="57">
        <f ca="1">B5/B$4</f>
        <v>0.14428164731484103</v>
      </c>
      <c r="C8" s="57">
        <f t="shared" ref="C8:E8" ca="1" si="1">C5/C$4</f>
        <v>0.12157926461723931</v>
      </c>
      <c r="D8" s="57">
        <f t="shared" ca="1" si="1"/>
        <v>0.16249324071378063</v>
      </c>
      <c r="E8" s="57">
        <f t="shared" ca="1" si="1"/>
        <v>0.13826615285083402</v>
      </c>
      <c r="F8" s="57"/>
      <c r="G8" s="229">
        <f ca="1">AVERAGE(B8:E8)</f>
        <v>0.14165507637417374</v>
      </c>
      <c r="H8" s="57">
        <f ca="1">F5/F$4</f>
        <v>0.1184134337000579</v>
      </c>
    </row>
    <row r="9" spans="1:8">
      <c r="A9" t="s">
        <v>132</v>
      </c>
      <c r="B9" s="57">
        <f t="shared" ref="B9:E10" ca="1" si="2">B6/B$4</f>
        <v>0.14748625001863142</v>
      </c>
      <c r="C9" s="57">
        <f t="shared" ca="1" si="2"/>
        <v>0.15162748643761301</v>
      </c>
      <c r="D9" s="57">
        <f t="shared" ca="1" si="2"/>
        <v>0</v>
      </c>
      <c r="E9" s="57">
        <f t="shared" ca="1" si="2"/>
        <v>0.14037579814913786</v>
      </c>
      <c r="F9" s="57"/>
      <c r="G9" s="229">
        <f t="shared" ref="G9:G10" ca="1" si="3">AVERAGE(B9:E9)</f>
        <v>0.10987238365134556</v>
      </c>
      <c r="H9" s="57">
        <f ca="1">F6/F$4</f>
        <v>0.14132682604020183</v>
      </c>
    </row>
    <row r="10" spans="1:8">
      <c r="A10" t="s">
        <v>1371</v>
      </c>
      <c r="B10" s="57">
        <f t="shared" ca="1" si="2"/>
        <v>0.14161362924982487</v>
      </c>
      <c r="C10" s="57">
        <f t="shared" ca="1" si="2"/>
        <v>0.12745629897528632</v>
      </c>
      <c r="D10" s="57">
        <f t="shared" ca="1" si="2"/>
        <v>0.10378104072209975</v>
      </c>
      <c r="E10" s="57">
        <f t="shared" ca="1" si="2"/>
        <v>0.18846164664847684</v>
      </c>
      <c r="F10" s="57"/>
      <c r="G10" s="229">
        <f t="shared" ca="1" si="3"/>
        <v>0.14032815389892195</v>
      </c>
      <c r="H10" s="57">
        <f ca="1">F7/F$4</f>
        <v>7.0311853751344203E-2</v>
      </c>
    </row>
    <row r="11" spans="1:8">
      <c r="A11" s="60" t="s">
        <v>135</v>
      </c>
      <c r="B11" s="4">
        <f ca="1">INDIRECT(B$1&amp;"!F5")</f>
        <v>38100</v>
      </c>
      <c r="C11" s="4">
        <f ca="1">INDIRECT(C$1&amp;"!F5")</f>
        <v>8947</v>
      </c>
      <c r="D11" s="4">
        <f ca="1">INDIRECT(D$1&amp;"!F5")</f>
        <v>10506</v>
      </c>
      <c r="E11" s="4">
        <f ca="1">INDIRECT(E$1&amp;"!F5")</f>
        <v>36130</v>
      </c>
      <c r="F11" s="4">
        <f ca="1">INDIRECT(F$1&amp;"!F5")</f>
        <v>3959</v>
      </c>
      <c r="G11" s="228">
        <f ca="1">SUM(B11:E11)</f>
        <v>93683</v>
      </c>
      <c r="H11" s="4">
        <f ca="1">INDIRECT(F$1&amp;"!G5")</f>
        <v>2272</v>
      </c>
    </row>
    <row r="12" spans="1:8">
      <c r="A12" s="60" t="s">
        <v>136</v>
      </c>
      <c r="B12" s="57">
        <f ca="1">B11/B4</f>
        <v>0.56788540936936405</v>
      </c>
      <c r="C12" s="57">
        <f t="shared" ref="C12:E12" ca="1" si="4">C11/C4</f>
        <v>0.26965039180229056</v>
      </c>
      <c r="D12" s="57">
        <f t="shared" ca="1" si="4"/>
        <v>0.21850172621771141</v>
      </c>
      <c r="E12" s="57">
        <f t="shared" ca="1" si="4"/>
        <v>0.50814323085145285</v>
      </c>
      <c r="F12" s="57">
        <f ca="1">ABS(F11/F4)</f>
        <v>0.16374389941268921</v>
      </c>
      <c r="G12" s="229">
        <f ca="1">AVERAGE(B12:E12)</f>
        <v>0.39104518956020473</v>
      </c>
      <c r="H12" s="57">
        <f ca="1">F11/F4</f>
        <v>0.16374389941268921</v>
      </c>
    </row>
    <row r="13" spans="1:8">
      <c r="A13" s="60" t="s">
        <v>1372</v>
      </c>
      <c r="B13" s="4">
        <f ca="1">ROUND(INDIRECT(B$1&amp;"!F31"),0)</f>
        <v>255</v>
      </c>
      <c r="C13" s="4">
        <f ca="1">ROUND(INDIRECT(C$1&amp;"!F31"),0)</f>
        <v>209</v>
      </c>
      <c r="D13" s="4">
        <f ca="1">ROUND(INDIRECT(D$1&amp;"!F31"),0)</f>
        <v>2265</v>
      </c>
      <c r="E13" s="4">
        <f ca="1">ROUND(INDIRECT(E$1&amp;"!F31"),0)</f>
        <v>0</v>
      </c>
      <c r="F13" s="4">
        <f ca="1">ROUND(INDIRECT(F$1&amp;"!F31"),0)</f>
        <v>29957</v>
      </c>
      <c r="G13" s="228">
        <f ca="1">SUM(B13:E13)</f>
        <v>2729</v>
      </c>
      <c r="H13" s="4">
        <f ca="1">INDIRECT(F$1&amp;"!G31")</f>
        <v>36456.280963778023</v>
      </c>
    </row>
    <row r="14" spans="1:8">
      <c r="A14" s="60" t="s">
        <v>1373</v>
      </c>
      <c r="B14" s="4">
        <f ca="1">ROUND(INDIRECT(B$1&amp;"!F27"),1)/1000000</f>
        <v>283.71032789999998</v>
      </c>
      <c r="C14" s="4">
        <f ca="1">ROUND(INDIRECT(C$1&amp;"!F27"),1)/1000000</f>
        <v>1087.9049847000001</v>
      </c>
      <c r="D14" s="4">
        <f ca="1">ROUND(INDIRECT(D$1&amp;"!F27"),1)/1000000</f>
        <v>893.69615690000001</v>
      </c>
      <c r="E14" s="4">
        <f ca="1">ROUND(INDIRECT(E$1&amp;"!F27"),1)/1000000</f>
        <v>5740.3749237000002</v>
      </c>
      <c r="F14" s="4">
        <f ca="1">ROUND(INDIRECT(F$1&amp;"!F27"),1)/1000000</f>
        <v>4803.8989199999996</v>
      </c>
      <c r="G14" s="228">
        <f ca="1">SUM(B14:E14)</f>
        <v>8005.6863932000006</v>
      </c>
      <c r="H14" s="4">
        <f ca="1">INDIRECT(F$1&amp;"!G27")</f>
        <v>5846.1224004109163</v>
      </c>
    </row>
    <row r="15" spans="1:8">
      <c r="A15" s="60" t="s">
        <v>1374</v>
      </c>
      <c r="B15" s="4">
        <f ca="1">ROUND(INDIRECT(B$1&amp;"!F28"),1)/1000000</f>
        <v>254.72096930000001</v>
      </c>
      <c r="C15" s="4">
        <f ca="1">ROUND(INDIRECT(C$1&amp;"!F28"),1)/1000000</f>
        <v>31.287360899999999</v>
      </c>
      <c r="D15" s="4">
        <f ca="1">ROUND(INDIRECT(D$1&amp;"!F28"),1)/1000000</f>
        <v>129.0957497</v>
      </c>
      <c r="E15" s="4">
        <f ca="1">ROUND(INDIRECT(E$1&amp;"!F28"),1)/1000000</f>
        <v>335.62521680000003</v>
      </c>
      <c r="F15" s="4">
        <f ca="1">ROUND(INDIRECT(F$1&amp;"!F28"),1)/1000000</f>
        <v>155.51276999999999</v>
      </c>
      <c r="G15" s="228">
        <f ca="1">SUM(B15:E15)</f>
        <v>750.72929670000008</v>
      </c>
      <c r="H15" s="4">
        <f ca="1">INDIRECT(F$1&amp;"!G28")</f>
        <v>189.25183551675372</v>
      </c>
    </row>
    <row r="16" spans="1:8">
      <c r="A16" s="60" t="s">
        <v>1375</v>
      </c>
      <c r="B16" s="4">
        <f ca="1">ROUND(INDIRECT(B$1&amp;"!F29"),1)/1000000</f>
        <v>82.883695000000003</v>
      </c>
      <c r="C16" s="4">
        <f ca="1">ROUND(INDIRECT(C$1&amp;"!F29"),1)/1000000</f>
        <v>10.2561485</v>
      </c>
      <c r="D16" s="4">
        <f ca="1">ROUND(INDIRECT(D$1&amp;"!F29"),1)/1000000</f>
        <v>59.434227299999996</v>
      </c>
      <c r="E16" s="4">
        <f ca="1">ROUND(INDIRECT(E$1&amp;"!F29"),1)/1000000</f>
        <v>99.3519747</v>
      </c>
      <c r="F16" s="4">
        <f ca="1">ROUND(INDIRECT(F$1&amp;"!F29"),1)/1000000</f>
        <v>48.863750500000002</v>
      </c>
      <c r="G16" s="228">
        <f ca="1">SUM(B16:E16)</f>
        <v>251.92604549999999</v>
      </c>
      <c r="H16" s="4">
        <f ca="1">INDIRECT(F$1&amp;"!G29")</f>
        <v>59.464920343987338</v>
      </c>
    </row>
    <row r="17" spans="1:8">
      <c r="A17" s="60" t="s">
        <v>1376</v>
      </c>
      <c r="B17" s="57">
        <f ca="1">B16/B15</f>
        <v>0.325390152321472</v>
      </c>
      <c r="C17" s="57">
        <f t="shared" ref="C17:F17" ca="1" si="5">C16/C15</f>
        <v>0.32780484531055482</v>
      </c>
      <c r="D17" s="57">
        <f t="shared" ca="1" si="5"/>
        <v>0.46038872261957975</v>
      </c>
      <c r="E17" s="57">
        <f t="shared" ca="1" si="5"/>
        <v>0.29602059001187658</v>
      </c>
      <c r="F17" s="57">
        <f t="shared" ca="1" si="5"/>
        <v>0.31421053396450982</v>
      </c>
      <c r="G17" s="229">
        <f ca="1">AVERAGE(B17:E17)</f>
        <v>0.3524010775658708</v>
      </c>
      <c r="H17" s="57">
        <f ca="1">F16/F15</f>
        <v>0.31421053396450982</v>
      </c>
    </row>
    <row r="18" spans="1:8">
      <c r="A18" s="60" t="s">
        <v>1377</v>
      </c>
      <c r="B18" s="4">
        <f t="shared" ref="B18:F20" ca="1" si="6">ROUND(INDIRECT(B$1&amp;"!F17")*B3,1)</f>
        <v>9388.4</v>
      </c>
      <c r="C18" s="4">
        <f t="shared" ca="1" si="6"/>
        <v>3522.6</v>
      </c>
      <c r="D18" s="4">
        <f t="shared" ca="1" si="6"/>
        <v>6242.4</v>
      </c>
      <c r="E18" s="4">
        <f t="shared" ca="1" si="6"/>
        <v>5748.6</v>
      </c>
      <c r="F18" s="4">
        <f t="shared" ca="1" si="6"/>
        <v>29565</v>
      </c>
      <c r="G18" s="228">
        <f t="shared" ref="G18:G23" ca="1" si="7">SUM(B18:E18)</f>
        <v>24902</v>
      </c>
      <c r="H18" s="4">
        <f ca="1">INDIRECT(F$1&amp;"!G17")*F3</f>
        <v>30671.668981018342</v>
      </c>
    </row>
    <row r="19" spans="1:8">
      <c r="A19" s="60" t="s">
        <v>1378</v>
      </c>
      <c r="B19" s="4">
        <f t="shared" ca="1" si="6"/>
        <v>2294.5</v>
      </c>
      <c r="C19" s="4">
        <f t="shared" ca="1" si="6"/>
        <v>1359.6</v>
      </c>
      <c r="D19" s="4">
        <f t="shared" ca="1" si="6"/>
        <v>1644.4</v>
      </c>
      <c r="E19" s="4">
        <f t="shared" ca="1" si="6"/>
        <v>2431.6999999999998</v>
      </c>
      <c r="F19" s="4">
        <f t="shared" ca="1" si="6"/>
        <v>1851.6</v>
      </c>
      <c r="G19" s="228">
        <f t="shared" ca="1" si="7"/>
        <v>7730.2</v>
      </c>
      <c r="H19" s="4">
        <f ca="1">INDIRECT(F$1&amp;"!G17")*F4</f>
        <v>1920.8722196917129</v>
      </c>
    </row>
    <row r="20" spans="1:8">
      <c r="A20" s="60" t="s">
        <v>1379</v>
      </c>
      <c r="B20" s="4">
        <f t="shared" ca="1" si="6"/>
        <v>331.1</v>
      </c>
      <c r="C20" s="4">
        <f t="shared" ca="1" si="6"/>
        <v>165.3</v>
      </c>
      <c r="D20" s="4">
        <f t="shared" ca="1" si="6"/>
        <v>267.2</v>
      </c>
      <c r="E20" s="4">
        <f t="shared" ca="1" si="6"/>
        <v>336.2</v>
      </c>
      <c r="F20" s="4">
        <f t="shared" ca="1" si="6"/>
        <v>219.3</v>
      </c>
      <c r="G20" s="228">
        <f t="shared" ca="1" si="7"/>
        <v>1099.8</v>
      </c>
      <c r="H20" s="4">
        <f ca="1">INDIRECT(F$1&amp;"!G17")*F5</f>
        <v>227.45707523274771</v>
      </c>
    </row>
    <row r="21" spans="1:8">
      <c r="A21" s="60" t="s">
        <v>1380</v>
      </c>
      <c r="B21" s="4">
        <f ca="1">(B4-0.1*B3)*0.25*INDIRECT(B$1&amp;"!F17")*INDIRECT(B$1&amp;"!F30")</f>
        <v>110.28049017951462</v>
      </c>
      <c r="C21" s="4">
        <f ca="1">(C4-0.1*C3)*0.25*INDIRECT(C$1&amp;"!F17")*INDIRECT(C$1&amp;"!F30")</f>
        <v>82.553468729484024</v>
      </c>
      <c r="D21" s="4">
        <f ca="1">(D4-0.1*D3)*0.25*INDIRECT(D$1&amp;"!F17")*INDIRECT(D$1&amp;"!F30")</f>
        <v>117.41777693528057</v>
      </c>
      <c r="E21" s="4">
        <f ca="1">(E4-0.1*E3)*0.25*INDIRECT(E$1&amp;"!F17")*INDIRECT(E$1&amp;"!F30")</f>
        <v>137.41478857347553</v>
      </c>
      <c r="F21" s="4">
        <f ca="1">(F4-0.1*F3)*0.25*INDIRECT(F$1&amp;"!F17")*INDIRECT(F$1&amp;"!F30")</f>
        <v>-86.795558265120292</v>
      </c>
      <c r="G21" s="228">
        <f t="shared" ca="1" si="7"/>
        <v>447.66652441775477</v>
      </c>
      <c r="H21" s="4">
        <f ca="1">(F4-0.1*F3)*0.25*INDIRECT(F$1&amp;"!F17")*INDIRECT(F$1&amp;"!F30")</f>
        <v>-86.795558265120292</v>
      </c>
    </row>
    <row r="22" spans="1:8">
      <c r="A22" s="60" t="s">
        <v>1381</v>
      </c>
      <c r="B22" s="4">
        <f ca="1">B20-B16</f>
        <v>248.21630500000003</v>
      </c>
      <c r="C22" s="4">
        <f t="shared" ref="C22:F22" ca="1" si="8">C20-C16</f>
        <v>155.04385150000002</v>
      </c>
      <c r="D22" s="4">
        <f t="shared" ca="1" si="8"/>
        <v>207.76577269999999</v>
      </c>
      <c r="E22" s="4">
        <f t="shared" ca="1" si="8"/>
        <v>236.84802529999999</v>
      </c>
      <c r="F22" s="4">
        <f t="shared" ca="1" si="8"/>
        <v>170.4362495</v>
      </c>
      <c r="G22" s="228">
        <f t="shared" ca="1" si="7"/>
        <v>847.87395450000008</v>
      </c>
      <c r="H22" s="4">
        <f ca="1">F20-F16</f>
        <v>170.4362495</v>
      </c>
    </row>
    <row r="23" spans="1:8">
      <c r="A23" s="60" t="s">
        <v>1382</v>
      </c>
      <c r="B23" s="4">
        <f ca="1">(B4-0.1*B3)*INDIRECT(B$1&amp;"!F17")*(INDIRECT(B$1&amp;"!F30")+0.5)</f>
        <v>1118.9574107180586</v>
      </c>
      <c r="C23" s="4">
        <f ca="1">(C4-0.1*C3)*INDIRECT(C$1&amp;"!F17")*(INDIRECT(C$1&amp;"!F30")+0.5)</f>
        <v>833.88836454277407</v>
      </c>
      <c r="D23" s="4">
        <f ca="1">(D4-0.1*D3)*INDIRECT(D$1&amp;"!F17")*(INDIRECT(D$1&amp;"!F30")+0.5)</f>
        <v>979.75213774112228</v>
      </c>
      <c r="E23" s="4">
        <f ca="1">(E4-0.1*E3)*INDIRECT(E$1&amp;"!F17")*(INDIRECT(E$1&amp;"!F30")+0.5)</f>
        <v>1478.0728742939023</v>
      </c>
      <c r="F23" s="4"/>
      <c r="G23" s="228">
        <f t="shared" ca="1" si="7"/>
        <v>4410.6707872958577</v>
      </c>
      <c r="H23" s="4"/>
    </row>
    <row r="24" spans="1:8">
      <c r="A24" s="60" t="s">
        <v>1383</v>
      </c>
      <c r="B24" s="159">
        <f ca="1">B16/B19</f>
        <v>3.6122769666594029E-2</v>
      </c>
      <c r="C24" s="159">
        <f ca="1">C16/C19</f>
        <v>7.5435043395116214E-3</v>
      </c>
      <c r="D24" s="159">
        <f ca="1">D16/D19</f>
        <v>3.6143412369253218E-2</v>
      </c>
      <c r="E24" s="159">
        <f ca="1">E16/E19</f>
        <v>4.0857003207632525E-2</v>
      </c>
      <c r="F24" s="159">
        <f ca="1">F16/F19</f>
        <v>2.6390014311946427E-2</v>
      </c>
      <c r="G24" s="229">
        <f ca="1">AVERAGE(B24:E24)</f>
        <v>3.016667239574785E-2</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abSelected="1" workbookViewId="0">
      <selection activeCell="K10" sqref="K10"/>
    </sheetView>
  </sheetViews>
  <sheetFormatPr baseColWidth="10" defaultRowHeight="14.4"/>
  <cols>
    <col min="1" max="1" width="33.77734375" bestFit="1" customWidth="1"/>
  </cols>
  <sheetData>
    <row r="1" spans="1:11">
      <c r="A1">
        <v>2016</v>
      </c>
      <c r="B1" t="s">
        <v>72</v>
      </c>
      <c r="C1" t="s">
        <v>134</v>
      </c>
      <c r="D1" t="s">
        <v>78</v>
      </c>
      <c r="E1" t="s">
        <v>73</v>
      </c>
      <c r="F1" t="s">
        <v>106</v>
      </c>
      <c r="G1" s="227" t="s">
        <v>310</v>
      </c>
      <c r="H1" t="s">
        <v>91</v>
      </c>
    </row>
    <row r="2" spans="1:11">
      <c r="A2" s="60" t="s">
        <v>139</v>
      </c>
      <c r="B2" s="4">
        <f ca="1">INDIRECT(B$1&amp;"!B14")</f>
        <v>116000</v>
      </c>
      <c r="C2" s="4">
        <f ca="1">INDIRECT(C$1&amp;"!B14")</f>
        <v>17048</v>
      </c>
      <c r="D2" s="4">
        <f ca="1">INDIRECT(D$1&amp;"!B14")</f>
        <v>0</v>
      </c>
      <c r="E2" s="4">
        <f ca="1">INDIRECT(E$1&amp;"!B14")</f>
        <v>124000</v>
      </c>
      <c r="F2" s="4">
        <f ca="1">INDIRECT(F$1&amp;"!B14")</f>
        <v>341400</v>
      </c>
      <c r="G2" s="228">
        <f ca="1">SUM(B2:E2)</f>
        <v>257048</v>
      </c>
      <c r="H2" s="4">
        <f t="shared" ref="H2" ca="1" si="0">INDIRECT(H$1&amp;"!G14")</f>
        <v>9400</v>
      </c>
      <c r="K2" t="s">
        <v>1364</v>
      </c>
    </row>
    <row r="3" spans="1:11">
      <c r="A3" t="s">
        <v>5</v>
      </c>
      <c r="B3" s="4">
        <f ca="1">INDIRECT(B$1&amp;"!B2")</f>
        <v>215639</v>
      </c>
      <c r="C3" s="4">
        <f ca="1">INDIRECT(C$1&amp;"!B2")</f>
        <v>27638</v>
      </c>
      <c r="D3" s="4">
        <f ca="1">INDIRECT(D$1&amp;"!B2")</f>
        <v>0</v>
      </c>
      <c r="E3" s="4">
        <f ca="1">INDIRECT(E$1&amp;"!B2")</f>
        <v>96571</v>
      </c>
      <c r="F3" s="4">
        <f ca="1">INDIRECT(F$1&amp;"!B2")</f>
        <v>135987</v>
      </c>
      <c r="G3" s="228">
        <f t="shared" ref="G3:G7" ca="1" si="1">SUM(B3:E3)</f>
        <v>339848</v>
      </c>
      <c r="H3" s="4">
        <f t="shared" ref="H3" ca="1" si="2">INDIRECT(H$1&amp;"!G2")</f>
        <v>24996056000</v>
      </c>
    </row>
    <row r="4" spans="1:11">
      <c r="A4" t="s">
        <v>127</v>
      </c>
      <c r="B4" s="4">
        <f ca="1">INDIRECT(B$1&amp;"!B3")</f>
        <v>61372</v>
      </c>
      <c r="C4" s="4">
        <f ca="1">INDIRECT(C$1&amp;"!B3")</f>
        <v>12518</v>
      </c>
      <c r="D4" s="4">
        <f ca="1">INDIRECT(D$1&amp;"!B3")</f>
        <v>24150</v>
      </c>
      <c r="E4" s="4">
        <f ca="1">INDIRECT(E$1&amp;"!B3")</f>
        <v>29901</v>
      </c>
      <c r="F4" s="4">
        <f ca="1">INDIRECT(F$1&amp;"!B3")</f>
        <v>3892</v>
      </c>
      <c r="G4" s="228">
        <f t="shared" ca="1" si="1"/>
        <v>127941</v>
      </c>
      <c r="H4" s="4">
        <f t="shared" ref="H4" ca="1" si="3">INDIRECT(H$1&amp;"!G3")</f>
        <v>3199349000</v>
      </c>
    </row>
    <row r="5" spans="1:11">
      <c r="A5" t="s">
        <v>129</v>
      </c>
      <c r="B5" s="4">
        <f ca="1">INDIRECT(B$1&amp;"!B6")</f>
        <v>15685</v>
      </c>
      <c r="C5" s="4">
        <f ca="1">INDIRECT(C$1&amp;"!B6")</f>
        <v>2301</v>
      </c>
      <c r="D5" s="4">
        <f ca="1">INDIRECT(D$1&amp;"!B6")</f>
        <v>4672</v>
      </c>
      <c r="E5" s="4">
        <f ca="1">INDIRECT(E$1&amp;"!B6")</f>
        <v>4412</v>
      </c>
      <c r="F5" s="4">
        <f ca="1">INDIRECT(F$1&amp;"!B6")</f>
        <v>1425</v>
      </c>
      <c r="G5" s="228">
        <f t="shared" ca="1" si="1"/>
        <v>27070</v>
      </c>
      <c r="H5" s="4">
        <f t="shared" ref="H5" ca="1" si="4">INDIRECT(H$1&amp;"!G6")</f>
        <v>437954000</v>
      </c>
    </row>
    <row r="6" spans="1:11">
      <c r="A6" t="s">
        <v>128</v>
      </c>
      <c r="B6" s="4">
        <f ca="1">INDIRECT(B$1&amp;"!B8")+INDIRECT(B$1&amp;"!B11")</f>
        <v>10747</v>
      </c>
      <c r="C6" s="4">
        <f ca="1">INDIRECT(C$1&amp;"!B8")+INDIRECT(C$1&amp;"!B11")</f>
        <v>2758</v>
      </c>
      <c r="D6" s="4">
        <f ca="1">INDIRECT(D$1&amp;"!B8")+INDIRECT(D$1&amp;"!B11")</f>
        <v>0</v>
      </c>
      <c r="E6" s="4">
        <f ca="1">INDIRECT(E$1&amp;"!B8")+INDIRECT(E$1&amp;"!B11")</f>
        <v>5241</v>
      </c>
      <c r="F6" s="4">
        <f ca="1">INDIRECT(F$1&amp;"!B8")+INDIRECT(F$1&amp;"!B11")</f>
        <v>1671</v>
      </c>
      <c r="G6" s="228">
        <f t="shared" ca="1" si="1"/>
        <v>18746</v>
      </c>
      <c r="H6" s="4">
        <f t="shared" ref="H6" ca="1" si="5">INDIRECT(H$1&amp;"!G8")+INDIRECT(H$1&amp;"!G11")</f>
        <v>367888000</v>
      </c>
    </row>
    <row r="7" spans="1:11">
      <c r="A7" t="s">
        <v>130</v>
      </c>
      <c r="B7" s="4">
        <f ca="1">INDIRECT(B$1&amp;"!B13")</f>
        <v>0</v>
      </c>
      <c r="C7" s="4">
        <f ca="1">INDIRECT(C$1&amp;"!B13")</f>
        <v>0</v>
      </c>
      <c r="D7" s="4">
        <f ca="1">INDIRECT(D$1&amp;"!B13")</f>
        <v>0</v>
      </c>
      <c r="E7" s="4">
        <f ca="1">INDIRECT(E$1&amp;"!B13")</f>
        <v>0</v>
      </c>
      <c r="F7" s="4">
        <f ca="1">INDIRECT(F$1&amp;"!B13")</f>
        <v>0</v>
      </c>
      <c r="G7" s="228">
        <f t="shared" ca="1" si="1"/>
        <v>0</v>
      </c>
      <c r="H7" s="4">
        <f t="shared" ref="H7" ca="1" si="6">INDIRECT(H$1&amp;"!G13")</f>
        <v>0</v>
      </c>
    </row>
    <row r="8" spans="1:11">
      <c r="A8" t="s">
        <v>131</v>
      </c>
      <c r="B8" s="57">
        <f ca="1">B5/B$4</f>
        <v>0.25557257381216192</v>
      </c>
      <c r="C8" s="57">
        <f t="shared" ref="C8:H8" ca="1" si="7">C5/C$4</f>
        <v>0.18381530595941845</v>
      </c>
      <c r="D8" s="57">
        <f t="shared" ca="1" si="7"/>
        <v>0.19345755693581781</v>
      </c>
      <c r="E8" s="57">
        <f t="shared" ca="1" si="7"/>
        <v>0.14755359352530015</v>
      </c>
      <c r="F8" s="57"/>
      <c r="G8" s="229">
        <f ca="1">AVERAGE(B8:E8)</f>
        <v>0.19509975755817457</v>
      </c>
      <c r="H8" s="57">
        <f t="shared" ca="1" si="7"/>
        <v>0.13688847324877654</v>
      </c>
    </row>
    <row r="9" spans="1:11">
      <c r="A9" t="s">
        <v>132</v>
      </c>
      <c r="B9" s="57">
        <f t="shared" ref="B9:H10" ca="1" si="8">B6/B$4</f>
        <v>0.17511242912077168</v>
      </c>
      <c r="C9" s="57">
        <f t="shared" ca="1" si="8"/>
        <v>0.22032273526122384</v>
      </c>
      <c r="D9" s="57">
        <f t="shared" ca="1" si="8"/>
        <v>0</v>
      </c>
      <c r="E9" s="57">
        <f t="shared" ca="1" si="8"/>
        <v>0.17527841878198053</v>
      </c>
      <c r="F9" s="57"/>
      <c r="G9" s="229">
        <f t="shared" ref="G9:G10" ca="1" si="9">AVERAGE(B9:E9)</f>
        <v>0.14267839579099401</v>
      </c>
      <c r="H9" s="57">
        <f t="shared" ca="1" si="8"/>
        <v>0.11498839295119101</v>
      </c>
    </row>
    <row r="10" spans="1:11">
      <c r="A10" t="s">
        <v>133</v>
      </c>
      <c r="B10" s="57">
        <f t="shared" ca="1" si="8"/>
        <v>0</v>
      </c>
      <c r="C10" s="57">
        <f t="shared" ca="1" si="8"/>
        <v>0</v>
      </c>
      <c r="D10" s="57">
        <f t="shared" ca="1" si="8"/>
        <v>0</v>
      </c>
      <c r="E10" s="57">
        <f t="shared" ca="1" si="8"/>
        <v>0</v>
      </c>
      <c r="F10" s="57"/>
      <c r="G10" s="229">
        <f t="shared" ca="1" si="9"/>
        <v>0</v>
      </c>
      <c r="H10" s="57">
        <f t="shared" ca="1" si="8"/>
        <v>0</v>
      </c>
      <c r="K10" t="s">
        <v>1365</v>
      </c>
    </row>
    <row r="11" spans="1:11">
      <c r="A11" s="60" t="s">
        <v>135</v>
      </c>
      <c r="B11" s="4">
        <f ca="1">INDIRECT(B$1&amp;"!B5")</f>
        <v>41100</v>
      </c>
      <c r="C11" s="4">
        <f ca="1">INDIRECT(C$1&amp;"!B5")</f>
        <v>6150</v>
      </c>
      <c r="D11" s="4">
        <f ca="1">INDIRECT(D$1&amp;"!B5")</f>
        <v>12100</v>
      </c>
      <c r="E11" s="4">
        <f ca="1">INDIRECT(E$1&amp;"!B5")</f>
        <v>23058</v>
      </c>
      <c r="F11" s="4">
        <f ca="1">INDIRECT(F$1&amp;"!B5")</f>
        <v>-659</v>
      </c>
      <c r="G11" s="228">
        <f ca="1">SUM(B11:E11)</f>
        <v>82408</v>
      </c>
      <c r="H11" s="4">
        <f t="shared" ref="H11" ca="1" si="10">INDIRECT(H$1&amp;"!G5")</f>
        <v>410285000</v>
      </c>
    </row>
    <row r="12" spans="1:11">
      <c r="A12" s="60" t="s">
        <v>136</v>
      </c>
      <c r="B12" s="57">
        <f ca="1">B11/B4</f>
        <v>0.66968650198787716</v>
      </c>
      <c r="C12" s="57">
        <f t="shared" ref="C12:H12" ca="1" si="11">C11/C4</f>
        <v>0.49129253874420836</v>
      </c>
      <c r="D12" s="57">
        <f t="shared" ca="1" si="11"/>
        <v>0.50103519668737062</v>
      </c>
      <c r="E12" s="57">
        <f t="shared" ca="1" si="11"/>
        <v>0.77114477776662993</v>
      </c>
      <c r="F12" s="57">
        <f ca="1">ABS(F11/F4)</f>
        <v>0.16932168550873586</v>
      </c>
      <c r="G12" s="229">
        <f ca="1">AVERAGE(B12:E12)</f>
        <v>0.6082897537965215</v>
      </c>
      <c r="H12" s="57">
        <f t="shared" ca="1" si="11"/>
        <v>0.12824015135579145</v>
      </c>
    </row>
    <row r="13" spans="1:11">
      <c r="A13" s="60" t="s">
        <v>17</v>
      </c>
      <c r="B13" s="4">
        <f ca="1">ROUND(INDIRECT(B$1&amp;"!B31"),0)</f>
        <v>349</v>
      </c>
      <c r="C13" s="4">
        <f ca="1">ROUND(INDIRECT(C$1&amp;"!B31"),0)</f>
        <v>72</v>
      </c>
      <c r="D13" s="4">
        <f ca="1">ROUND(INDIRECT(D$1&amp;"!B31"),0)</f>
        <v>0</v>
      </c>
      <c r="E13" s="4">
        <f ca="1">ROUND(INDIRECT(E$1&amp;"!B31"),0)</f>
        <v>0</v>
      </c>
      <c r="F13" s="4">
        <f ca="1">ROUND(INDIRECT(F$1&amp;"!B31"),0)</f>
        <v>0</v>
      </c>
      <c r="G13" s="228">
        <f ca="1">SUM(B13:E13)</f>
        <v>421</v>
      </c>
      <c r="H13" s="4">
        <f ca="1">INDIRECT(H$1&amp;"!G31")</f>
        <v>0</v>
      </c>
    </row>
    <row r="14" spans="1:11">
      <c r="A14" s="60" t="s">
        <v>312</v>
      </c>
      <c r="B14" s="4">
        <f ca="1">ROUND(INDIRECT(B$1&amp;"!B27"),1)/1000000</f>
        <v>161.17943780000002</v>
      </c>
      <c r="C14" s="4">
        <f ca="1">ROUND(INDIRECT(C$1&amp;"!B27"),1)/1000000</f>
        <v>26.202240399999997</v>
      </c>
      <c r="D14" s="4">
        <f ca="1">ROUND(INDIRECT(D$1&amp;"!B27"),1)/1000000</f>
        <v>0</v>
      </c>
      <c r="E14" s="4">
        <f ca="1">ROUND(INDIRECT(E$1&amp;"!B27"),1)/1000000</f>
        <v>5516.1820551000001</v>
      </c>
      <c r="F14" s="4">
        <f ca="1">ROUND(INDIRECT(F$1&amp;"!B27"),1)/1000000</f>
        <v>0</v>
      </c>
      <c r="G14" s="228">
        <f ca="1">SUM(B14:E14)</f>
        <v>5703.5637333000004</v>
      </c>
      <c r="H14" s="4">
        <f ca="1">INDIRECT(H$1&amp;"!G27")</f>
        <v>0</v>
      </c>
    </row>
    <row r="15" spans="1:11">
      <c r="A15" s="60" t="s">
        <v>313</v>
      </c>
      <c r="B15" s="4">
        <f ca="1">ROUND(INDIRECT(B$1&amp;"!B28"),1)/1000000</f>
        <v>66.415387699999997</v>
      </c>
      <c r="C15" s="4">
        <f ca="1">ROUND(INDIRECT(C$1&amp;"!B28"),1)/1000000</f>
        <v>2.1473214999999999</v>
      </c>
      <c r="D15" s="4">
        <f ca="1">ROUND(INDIRECT(D$1&amp;"!B28"),1)/1000000</f>
        <v>0</v>
      </c>
      <c r="E15" s="4">
        <f ca="1">ROUND(INDIRECT(E$1&amp;"!B28"),1)/1000000</f>
        <v>323.94535010000004</v>
      </c>
      <c r="F15" s="4">
        <f ca="1">ROUND(INDIRECT(F$1&amp;"!B28"),1)/1000000</f>
        <v>0</v>
      </c>
      <c r="G15" s="228">
        <f ca="1">SUM(B15:E15)</f>
        <v>392.50805930000001</v>
      </c>
      <c r="H15" s="4">
        <f ca="1">INDIRECT(H$1&amp;"!G28")</f>
        <v>0</v>
      </c>
    </row>
    <row r="16" spans="1:11">
      <c r="A16" s="60" t="s">
        <v>314</v>
      </c>
      <c r="B16" s="4">
        <f ca="1">ROUND(INDIRECT(B$1&amp;"!B29"),1)/1000000</f>
        <v>21.054960300000001</v>
      </c>
      <c r="C16" s="4">
        <f ca="1">ROUND(INDIRECT(C$1&amp;"!B29"),1)/1000000</f>
        <v>0.68284719999999999</v>
      </c>
      <c r="D16" s="4">
        <f ca="1">ROUND(INDIRECT(D$1&amp;"!B29"),1)/1000000</f>
        <v>0</v>
      </c>
      <c r="E16" s="4">
        <f ca="1">ROUND(INDIRECT(E$1&amp;"!B29"),1)/1000000</f>
        <v>104.6533335</v>
      </c>
      <c r="F16" s="4">
        <f ca="1">ROUND(INDIRECT(F$1&amp;"!B29"),1)/1000000</f>
        <v>0</v>
      </c>
      <c r="G16" s="228">
        <f ca="1">SUM(B16:E16)</f>
        <v>126.391141</v>
      </c>
      <c r="H16" s="4">
        <f ca="1">INDIRECT(H$1&amp;"!G29")</f>
        <v>0</v>
      </c>
    </row>
    <row r="17" spans="1:8">
      <c r="A17" s="60" t="s">
        <v>315</v>
      </c>
      <c r="B17" s="57">
        <f ca="1">B16/B15</f>
        <v>0.317019308764797</v>
      </c>
      <c r="C17" s="57">
        <f t="shared" ref="C17:H17" ca="1" si="12">C16/C15</f>
        <v>0.31799951707278112</v>
      </c>
      <c r="D17" s="57" t="e">
        <f t="shared" ca="1" si="12"/>
        <v>#DIV/0!</v>
      </c>
      <c r="E17" s="57">
        <f t="shared" ca="1" si="12"/>
        <v>0.32305860685357618</v>
      </c>
      <c r="F17" s="57" t="e">
        <f t="shared" ca="1" si="12"/>
        <v>#DIV/0!</v>
      </c>
      <c r="G17" s="229" t="e">
        <f ca="1">AVERAGE(B17:E17)</f>
        <v>#DIV/0!</v>
      </c>
      <c r="H17" s="57" t="e">
        <f t="shared" ca="1" si="12"/>
        <v>#DIV/0!</v>
      </c>
    </row>
    <row r="18" spans="1:8">
      <c r="A18" s="60" t="s">
        <v>137</v>
      </c>
      <c r="B18" s="4">
        <f t="shared" ref="B18:F20" ca="1" si="13">ROUND(INDIRECT(B$1&amp;"!B17")*B3,1)</f>
        <v>7374.9</v>
      </c>
      <c r="C18" s="4">
        <f t="shared" ca="1" si="13"/>
        <v>1132.5</v>
      </c>
      <c r="D18" s="4">
        <f t="shared" ca="1" si="13"/>
        <v>0</v>
      </c>
      <c r="E18" s="4">
        <f t="shared" ca="1" si="13"/>
        <v>3302.7</v>
      </c>
      <c r="F18" s="4">
        <f t="shared" ca="1" si="13"/>
        <v>0</v>
      </c>
      <c r="G18" s="228">
        <f t="shared" ref="G18:G23" ca="1" si="14">SUM(B18:E18)</f>
        <v>11810.099999999999</v>
      </c>
      <c r="H18" s="4">
        <f ca="1">INDIRECT(H$1&amp;"!G17")*H3</f>
        <v>1320273698.7615821</v>
      </c>
    </row>
    <row r="19" spans="1:8">
      <c r="A19" s="60" t="s">
        <v>138</v>
      </c>
      <c r="B19" s="4">
        <f t="shared" ca="1" si="13"/>
        <v>2098.9</v>
      </c>
      <c r="C19" s="4">
        <f t="shared" ca="1" si="13"/>
        <v>512.9</v>
      </c>
      <c r="D19" s="4">
        <f t="shared" ca="1" si="13"/>
        <v>0</v>
      </c>
      <c r="E19" s="4">
        <f t="shared" ca="1" si="13"/>
        <v>1022.6</v>
      </c>
      <c r="F19" s="4">
        <f t="shared" ca="1" si="13"/>
        <v>0</v>
      </c>
      <c r="G19" s="228">
        <f t="shared" ca="1" si="14"/>
        <v>3634.4</v>
      </c>
      <c r="H19" s="4">
        <f ca="1">INDIRECT(H$1&amp;"!G17")*H4</f>
        <v>168987312.95285821</v>
      </c>
    </row>
    <row r="20" spans="1:8">
      <c r="A20" s="60" t="s">
        <v>140</v>
      </c>
      <c r="B20" s="4">
        <f t="shared" ca="1" si="13"/>
        <v>536.4</v>
      </c>
      <c r="C20" s="4">
        <f t="shared" ca="1" si="13"/>
        <v>94.3</v>
      </c>
      <c r="D20" s="4">
        <f t="shared" ca="1" si="13"/>
        <v>0</v>
      </c>
      <c r="E20" s="4">
        <f t="shared" ca="1" si="13"/>
        <v>150.9</v>
      </c>
      <c r="F20" s="4">
        <f t="shared" ca="1" si="13"/>
        <v>0</v>
      </c>
      <c r="G20" s="228">
        <f t="shared" ca="1" si="14"/>
        <v>781.59999999999991</v>
      </c>
      <c r="H20" s="4">
        <f ca="1">INDIRECT(H$1&amp;"!G17")*H5</f>
        <v>23132415.268529963</v>
      </c>
    </row>
    <row r="21" spans="1:8">
      <c r="A21" s="60" t="s">
        <v>1361</v>
      </c>
      <c r="B21" s="4">
        <f ca="1">(B4-0.1*B3)*0.25*INDIRECT(B$1&amp;"!B17")*INDIRECT(B$1&amp;"!B30")</f>
        <v>107.90045564930718</v>
      </c>
      <c r="C21" s="4">
        <f ca="1">(C4-0.1*C3)*0.25*INDIRECT(C$1&amp;"!B17")*INDIRECT(C$1&amp;"!B30")</f>
        <v>31.775643566975472</v>
      </c>
      <c r="D21" s="4">
        <f ca="1">(D4-0.1*D3)*0.25*INDIRECT(D$1&amp;"!B17")*INDIRECT(D$1&amp;"!B30")</f>
        <v>0</v>
      </c>
      <c r="E21" s="4">
        <f ca="1">(E4-0.1*E3)*0.25*INDIRECT(E$1&amp;"!B17")*INDIRECT(E$1&amp;"!B30")</f>
        <v>55.916710438499727</v>
      </c>
      <c r="F21" s="4">
        <f ca="1">(F4-0.1*F3)*0.25*INDIRECT(F$1&amp;"!B17")*INDIRECT(F$1&amp;"!B30")</f>
        <v>0</v>
      </c>
      <c r="G21" s="228">
        <f t="shared" ca="1" si="14"/>
        <v>195.59280965478237</v>
      </c>
      <c r="H21" s="4">
        <f t="shared" ref="H21" ca="1" si="15">(H4-0.1*H3)*0.25*INDIRECT(H$1&amp;"!H17")*INDIRECT(H$1&amp;"!H30")</f>
        <v>0</v>
      </c>
    </row>
    <row r="22" spans="1:8">
      <c r="A22" s="60" t="s">
        <v>1362</v>
      </c>
      <c r="B22" s="4">
        <f ca="1">B20-B16</f>
        <v>515.34503970000003</v>
      </c>
      <c r="C22" s="4">
        <f t="shared" ref="C22:H22" ca="1" si="16">C20-C16</f>
        <v>93.6171528</v>
      </c>
      <c r="D22" s="4">
        <f t="shared" ca="1" si="16"/>
        <v>0</v>
      </c>
      <c r="E22" s="4">
        <f t="shared" ca="1" si="16"/>
        <v>46.246666500000003</v>
      </c>
      <c r="F22" s="4">
        <f t="shared" ca="1" si="16"/>
        <v>0</v>
      </c>
      <c r="G22" s="228">
        <f t="shared" ca="1" si="14"/>
        <v>655.20885900000007</v>
      </c>
      <c r="H22" s="4">
        <f t="shared" ca="1" si="16"/>
        <v>23132415.268529963</v>
      </c>
    </row>
    <row r="23" spans="1:8">
      <c r="A23" s="60" t="s">
        <v>1363</v>
      </c>
      <c r="B23" s="4">
        <f ca="1">(B4-0.1*B3)*INDIRECT(B$1&amp;"!B17")*(INDIRECT(B$1&amp;"!B30")+0.5)</f>
        <v>1112.3203325972286</v>
      </c>
      <c r="C23" s="4">
        <f ca="1">(C4-0.1*C3)*INDIRECT(C$1&amp;"!B17")*(INDIRECT(C$1&amp;"!B30")+0.5)</f>
        <v>326.94969557685283</v>
      </c>
      <c r="D23" s="4">
        <f ca="1">(D4-0.1*D3)*INDIRECT(D$1&amp;"!B17")*(INDIRECT(D$1&amp;"!B30")+0.5)</f>
        <v>0</v>
      </c>
      <c r="E23" s="4">
        <f ca="1">(E4-0.1*E3)*INDIRECT(E$1&amp;"!B17")*(INDIRECT(E$1&amp;"!B30")+0.5)</f>
        <v>569.83753175399897</v>
      </c>
      <c r="F23" s="4"/>
      <c r="G23" s="228">
        <f t="shared" ca="1" si="14"/>
        <v>2009.1075599280803</v>
      </c>
      <c r="H23" s="4"/>
    </row>
    <row r="24" spans="1:8">
      <c r="A24" s="60" t="s">
        <v>311</v>
      </c>
      <c r="B24" s="159">
        <f ca="1">B16/B19</f>
        <v>1.0031426127971794E-2</v>
      </c>
      <c r="C24" s="159">
        <f ca="1">C16/C19</f>
        <v>1.33134568141938E-3</v>
      </c>
      <c r="D24" s="159" t="e">
        <f ca="1">D16/D19</f>
        <v>#DIV/0!</v>
      </c>
      <c r="E24" s="159">
        <f ca="1">E16/E19</f>
        <v>0.10234043956581264</v>
      </c>
      <c r="F24" s="159" t="e">
        <f ca="1">F16/F19</f>
        <v>#DIV/0!</v>
      </c>
      <c r="G24" s="229" t="e">
        <f ca="1">AVERAGE(B24:E24)</f>
        <v>#DIV/0!</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66"/>
  <sheetViews>
    <sheetView zoomScaleNormal="100" workbookViewId="0">
      <selection activeCell="G17" sqref="G17"/>
    </sheetView>
  </sheetViews>
  <sheetFormatPr baseColWidth="10" defaultColWidth="8.6640625" defaultRowHeight="14.4"/>
  <cols>
    <col min="1" max="1" width="34" customWidth="1"/>
    <col min="2" max="2" width="20.5546875" customWidth="1"/>
    <col min="3" max="6" width="20.44140625" customWidth="1"/>
    <col min="7" max="7" width="12" bestFit="1" customWidth="1"/>
    <col min="8" max="8" width="12" customWidth="1"/>
    <col min="10" max="10" width="25.44140625" customWidth="1"/>
    <col min="11" max="11" width="13.6640625" customWidth="1"/>
    <col min="12" max="13" width="13.21875" customWidth="1"/>
    <col min="14" max="14" width="15.109375" customWidth="1"/>
    <col min="15" max="15" width="14" customWidth="1"/>
  </cols>
  <sheetData>
    <row r="1" spans="1:16" ht="15" customHeight="1">
      <c r="A1" s="2" t="s">
        <v>24</v>
      </c>
      <c r="B1" s="2" t="s">
        <v>0</v>
      </c>
      <c r="C1" s="2" t="s">
        <v>1</v>
      </c>
      <c r="D1" s="2" t="s">
        <v>2</v>
      </c>
      <c r="E1" s="2" t="s">
        <v>3</v>
      </c>
      <c r="F1" s="2" t="s">
        <v>4</v>
      </c>
      <c r="G1" s="2">
        <v>2021</v>
      </c>
      <c r="H1" s="2">
        <v>2022</v>
      </c>
      <c r="I1" s="2" t="s">
        <v>116</v>
      </c>
      <c r="K1" s="67"/>
      <c r="L1" s="2"/>
      <c r="M1" s="2"/>
      <c r="N1" s="2"/>
      <c r="O1" s="2"/>
      <c r="P1" s="2"/>
    </row>
    <row r="2" spans="1:16" ht="15" customHeight="1">
      <c r="A2" s="3" t="s">
        <v>5</v>
      </c>
      <c r="B2" s="4">
        <v>215639</v>
      </c>
      <c r="C2" s="4">
        <v>229234</v>
      </c>
      <c r="D2" s="4">
        <v>265595</v>
      </c>
      <c r="E2" s="4">
        <v>260174</v>
      </c>
      <c r="F2" s="4">
        <v>274515</v>
      </c>
      <c r="G2" s="4">
        <v>365817</v>
      </c>
      <c r="H2" s="4">
        <v>394328</v>
      </c>
      <c r="I2" s="4">
        <v>1</v>
      </c>
    </row>
    <row r="3" spans="1:16" ht="15" customHeight="1">
      <c r="A3" s="8" t="s">
        <v>10</v>
      </c>
      <c r="B3" s="4">
        <v>61372</v>
      </c>
      <c r="C3" s="4">
        <v>64089</v>
      </c>
      <c r="D3" s="4">
        <v>72903</v>
      </c>
      <c r="E3" s="4">
        <v>65737</v>
      </c>
      <c r="F3" s="4">
        <v>67091</v>
      </c>
      <c r="G3" s="4">
        <v>109207</v>
      </c>
      <c r="H3" s="4">
        <v>119103</v>
      </c>
      <c r="I3" s="4">
        <v>1</v>
      </c>
    </row>
    <row r="4" spans="1:16" ht="15" customHeight="1">
      <c r="A4" s="8" t="s">
        <v>11</v>
      </c>
      <c r="B4" s="21">
        <v>20272</v>
      </c>
      <c r="C4" s="21">
        <v>19389</v>
      </c>
      <c r="D4" s="21">
        <v>24903</v>
      </c>
      <c r="E4" s="21">
        <v>21437</v>
      </c>
      <c r="F4" s="21">
        <v>28991</v>
      </c>
      <c r="G4" s="4">
        <f>G3-G5</f>
        <v>40507</v>
      </c>
      <c r="H4" s="4"/>
      <c r="I4" s="60" t="s">
        <v>121</v>
      </c>
    </row>
    <row r="5" spans="1:16" ht="25.2" customHeight="1">
      <c r="A5" s="8" t="s">
        <v>12</v>
      </c>
      <c r="B5" s="21">
        <v>41100</v>
      </c>
      <c r="C5" s="21">
        <v>44700</v>
      </c>
      <c r="D5" s="21">
        <v>48000</v>
      </c>
      <c r="E5" s="21">
        <v>44300</v>
      </c>
      <c r="F5" s="21">
        <v>38100</v>
      </c>
      <c r="G5" s="21">
        <v>68700</v>
      </c>
      <c r="H5" s="21">
        <v>71300</v>
      </c>
      <c r="I5" s="60" t="s">
        <v>119</v>
      </c>
    </row>
    <row r="6" spans="1:16" ht="15" customHeight="1">
      <c r="A6" s="8" t="s">
        <v>13</v>
      </c>
      <c r="B6" s="21">
        <v>15685</v>
      </c>
      <c r="C6" s="21">
        <v>15738</v>
      </c>
      <c r="D6" s="21">
        <v>13372</v>
      </c>
      <c r="E6" s="21">
        <v>10481</v>
      </c>
      <c r="F6" s="21">
        <v>9680</v>
      </c>
      <c r="G6" s="21">
        <v>14527</v>
      </c>
      <c r="H6" s="21">
        <v>19300</v>
      </c>
      <c r="I6" s="21">
        <v>1</v>
      </c>
      <c r="J6" s="10"/>
      <c r="K6" s="11"/>
    </row>
    <row r="7" spans="1:16" ht="15" customHeight="1">
      <c r="A7" s="8" t="s">
        <v>11</v>
      </c>
      <c r="B7" s="21">
        <v>13547</v>
      </c>
      <c r="C7" s="21">
        <v>14083</v>
      </c>
      <c r="D7" s="21">
        <v>8205</v>
      </c>
      <c r="E7" s="21">
        <v>3853</v>
      </c>
      <c r="F7" s="21">
        <v>3163</v>
      </c>
      <c r="G7" s="4">
        <f>G6-G10</f>
        <v>2363</v>
      </c>
      <c r="H7" s="4">
        <f>5625+1603</f>
        <v>7228</v>
      </c>
      <c r="I7" s="60" t="s">
        <v>119</v>
      </c>
    </row>
    <row r="8" spans="1:16" ht="15" customHeight="1">
      <c r="A8" s="8" t="s">
        <v>14</v>
      </c>
      <c r="B8" s="21">
        <v>8642</v>
      </c>
      <c r="C8" s="21">
        <v>8101</v>
      </c>
      <c r="D8" s="21">
        <v>41976</v>
      </c>
      <c r="E8" s="21">
        <v>6859</v>
      </c>
      <c r="F8" s="21">
        <v>6761</v>
      </c>
      <c r="G8" s="4">
        <f>8257+1620</f>
        <v>9877</v>
      </c>
      <c r="H8">
        <f>7890+1519</f>
        <v>9409</v>
      </c>
      <c r="I8" s="60" t="s">
        <v>119</v>
      </c>
    </row>
    <row r="9" spans="1:16" ht="15" customHeight="1">
      <c r="A9" s="8" t="s">
        <v>15</v>
      </c>
      <c r="B9" s="21">
        <v>4905</v>
      </c>
      <c r="C9" s="21">
        <v>5982</v>
      </c>
      <c r="D9" s="21">
        <v>-33771</v>
      </c>
      <c r="E9" s="21">
        <v>-3006</v>
      </c>
      <c r="F9" s="21">
        <v>-3598</v>
      </c>
      <c r="G9" s="4">
        <f>-7176-338</f>
        <v>-7514</v>
      </c>
      <c r="H9" s="4">
        <f>-2265+84</f>
        <v>-2181</v>
      </c>
      <c r="I9" s="60" t="s">
        <v>119</v>
      </c>
    </row>
    <row r="10" spans="1:16" ht="15" customHeight="1">
      <c r="A10" s="8" t="s">
        <v>12</v>
      </c>
      <c r="B10" s="21">
        <v>2138</v>
      </c>
      <c r="C10" s="21">
        <v>1655</v>
      </c>
      <c r="D10" s="21">
        <v>5167</v>
      </c>
      <c r="E10" s="21">
        <v>6628</v>
      </c>
      <c r="F10" s="21">
        <v>6517</v>
      </c>
      <c r="G10" s="21">
        <v>12164</v>
      </c>
      <c r="H10" s="21">
        <v>12072</v>
      </c>
      <c r="I10" s="60" t="s">
        <v>119</v>
      </c>
    </row>
    <row r="11" spans="1:16" ht="15" customHeight="1">
      <c r="A11" s="8" t="s">
        <v>14</v>
      </c>
      <c r="B11" s="21">
        <v>2105</v>
      </c>
      <c r="C11" s="21">
        <v>1671</v>
      </c>
      <c r="D11" s="21">
        <v>3986</v>
      </c>
      <c r="E11" s="21">
        <v>3962</v>
      </c>
      <c r="F11" s="21">
        <v>3134</v>
      </c>
      <c r="G11" s="21">
        <v>9424</v>
      </c>
      <c r="H11" s="21">
        <v>8996</v>
      </c>
      <c r="I11" s="60" t="s">
        <v>119</v>
      </c>
    </row>
    <row r="12" spans="1:16" ht="15" customHeight="1">
      <c r="A12" s="8" t="s">
        <v>15</v>
      </c>
      <c r="B12" s="21">
        <v>33</v>
      </c>
      <c r="C12" s="21">
        <v>-16</v>
      </c>
      <c r="D12" s="21">
        <v>1181</v>
      </c>
      <c r="E12" s="21">
        <v>2666</v>
      </c>
      <c r="F12" s="21">
        <v>3383</v>
      </c>
      <c r="G12" s="21">
        <v>2740</v>
      </c>
      <c r="H12" s="21">
        <v>3076</v>
      </c>
      <c r="I12" s="60" t="s">
        <v>119</v>
      </c>
    </row>
    <row r="13" spans="1:16" ht="15" customHeight="1">
      <c r="A13" s="8" t="s">
        <v>117</v>
      </c>
      <c r="E13" s="21">
        <v>15263</v>
      </c>
      <c r="F13">
        <v>9501</v>
      </c>
      <c r="G13">
        <v>25385</v>
      </c>
      <c r="H13">
        <v>19573</v>
      </c>
      <c r="I13">
        <v>2</v>
      </c>
    </row>
    <row r="14" spans="1:16" ht="15" customHeight="1">
      <c r="A14" s="10" t="s">
        <v>32</v>
      </c>
      <c r="B14" s="5">
        <v>116000</v>
      </c>
      <c r="C14" s="5">
        <v>123000</v>
      </c>
      <c r="D14" s="5">
        <v>132000</v>
      </c>
      <c r="E14" s="5">
        <v>137000</v>
      </c>
      <c r="F14" s="5">
        <v>147000</v>
      </c>
      <c r="G14" s="5">
        <v>145000</v>
      </c>
      <c r="H14" s="5">
        <v>164000</v>
      </c>
      <c r="I14" s="60" t="s">
        <v>118</v>
      </c>
    </row>
    <row r="15" spans="1:16" ht="15" customHeight="1">
      <c r="A15" s="56" t="s">
        <v>109</v>
      </c>
      <c r="B15" s="4">
        <v>211.88</v>
      </c>
      <c r="C15" s="4">
        <v>216.76</v>
      </c>
      <c r="D15" s="4">
        <v>217.72</v>
      </c>
      <c r="E15" s="4">
        <v>185.6</v>
      </c>
      <c r="F15" s="4">
        <v>189.9</v>
      </c>
      <c r="G15">
        <v>238.3</v>
      </c>
      <c r="I15" t="s">
        <v>110</v>
      </c>
    </row>
    <row r="16" spans="1:16" ht="15" customHeight="1">
      <c r="A16" s="34" t="s">
        <v>108</v>
      </c>
      <c r="B16" s="4"/>
      <c r="C16" s="4"/>
      <c r="D16" s="4"/>
      <c r="E16" s="4"/>
      <c r="F16" s="4"/>
      <c r="G16">
        <f>0.27*20.4</f>
        <v>5.508</v>
      </c>
      <c r="I16" s="60" t="s">
        <v>316</v>
      </c>
      <c r="J16">
        <f>191.973/365.817</f>
        <v>0.52477878283404</v>
      </c>
    </row>
    <row r="17" spans="1:9" ht="15" customHeight="1">
      <c r="A17" s="8" t="s">
        <v>9</v>
      </c>
      <c r="B17" s="9">
        <v>3.4200000000000001E-2</v>
      </c>
      <c r="C17" s="9">
        <v>3.4200000000000001E-2</v>
      </c>
      <c r="D17" s="9">
        <v>3.4200000000000001E-2</v>
      </c>
      <c r="E17" s="9">
        <v>3.4200000000000001E-2</v>
      </c>
      <c r="F17" s="9">
        <v>3.4200000000000001E-2</v>
      </c>
      <c r="G17" s="61">
        <f>G16/G15</f>
        <v>2.3113722198908938E-2</v>
      </c>
      <c r="H17" s="61">
        <f>G17</f>
        <v>2.3113722198908938E-2</v>
      </c>
      <c r="I17" s="60" t="s">
        <v>121</v>
      </c>
    </row>
    <row r="18" spans="1:9" ht="28.8">
      <c r="A18" s="18" t="s">
        <v>112</v>
      </c>
      <c r="B18" s="2" t="s">
        <v>0</v>
      </c>
      <c r="C18" s="2" t="s">
        <v>1</v>
      </c>
      <c r="D18" s="2" t="s">
        <v>2</v>
      </c>
      <c r="E18" s="2" t="s">
        <v>3</v>
      </c>
      <c r="F18" s="2" t="s">
        <v>4</v>
      </c>
    </row>
    <row r="19" spans="1:9" ht="15" customHeight="1">
      <c r="A19" s="3" t="s">
        <v>5</v>
      </c>
      <c r="B19" s="4"/>
      <c r="C19" s="4"/>
      <c r="D19" s="4"/>
      <c r="E19" s="4">
        <v>140992</v>
      </c>
      <c r="F19" s="4">
        <v>148168</v>
      </c>
      <c r="G19">
        <v>211058</v>
      </c>
    </row>
    <row r="20" spans="1:9" ht="15" customHeight="1">
      <c r="A20" s="3" t="s">
        <v>23</v>
      </c>
      <c r="B20" s="4"/>
      <c r="C20" s="4"/>
      <c r="D20" s="4"/>
      <c r="E20" s="4">
        <v>41686</v>
      </c>
      <c r="F20" s="4">
        <v>33803</v>
      </c>
      <c r="G20">
        <v>67742</v>
      </c>
    </row>
    <row r="21" spans="1:9" ht="15" customHeight="1">
      <c r="A21" s="3" t="s">
        <v>13</v>
      </c>
      <c r="B21" s="19"/>
      <c r="C21" s="19">
        <v>0</v>
      </c>
      <c r="D21" s="19">
        <v>0</v>
      </c>
      <c r="E21" s="4">
        <f>E22+E23</f>
        <v>6191</v>
      </c>
      <c r="F21" s="4">
        <f>F22+F23</f>
        <v>6149</v>
      </c>
      <c r="G21">
        <v>11575</v>
      </c>
    </row>
    <row r="22" spans="1:9">
      <c r="A22" s="3" t="s">
        <v>14</v>
      </c>
      <c r="B22" s="19"/>
      <c r="C22" s="19"/>
      <c r="D22" s="19"/>
      <c r="E22" s="4">
        <v>3648</v>
      </c>
      <c r="F22" s="4">
        <v>2593</v>
      </c>
      <c r="G22">
        <v>8595</v>
      </c>
    </row>
    <row r="23" spans="1:9">
      <c r="A23" s="3" t="s">
        <v>15</v>
      </c>
      <c r="B23" s="19"/>
      <c r="C23" s="19"/>
      <c r="D23" s="19"/>
      <c r="E23" s="4">
        <v>2543</v>
      </c>
      <c r="F23" s="4">
        <v>3556</v>
      </c>
      <c r="G23">
        <v>2980</v>
      </c>
    </row>
    <row r="24" spans="1:9" ht="15" customHeight="1">
      <c r="A24" s="7" t="s">
        <v>21</v>
      </c>
      <c r="B24" s="20"/>
      <c r="C24" s="12"/>
      <c r="D24" s="12"/>
      <c r="E24" s="12">
        <f>E21/E20</f>
        <v>0.14851508899870461</v>
      </c>
      <c r="F24" s="12">
        <f>F21/F20</f>
        <v>0.18190693133745525</v>
      </c>
      <c r="G24" s="35">
        <f>G21/G20</f>
        <v>0.17086888488677629</v>
      </c>
      <c r="H24" s="35"/>
    </row>
    <row r="25" spans="1:9">
      <c r="A25" t="s">
        <v>22</v>
      </c>
      <c r="C25">
        <v>0</v>
      </c>
      <c r="D25">
        <v>0</v>
      </c>
      <c r="E25" s="21">
        <v>47337</v>
      </c>
      <c r="F25" s="4">
        <v>51255</v>
      </c>
      <c r="G25">
        <v>52563</v>
      </c>
    </row>
    <row r="26" spans="1:9" ht="15" customHeight="1">
      <c r="A26" s="2" t="s">
        <v>18</v>
      </c>
      <c r="B26" s="2" t="s">
        <v>0</v>
      </c>
      <c r="C26" s="2" t="s">
        <v>1</v>
      </c>
      <c r="D26" s="2" t="s">
        <v>2</v>
      </c>
      <c r="E26" s="2" t="s">
        <v>3</v>
      </c>
      <c r="F26" s="2" t="s">
        <v>4</v>
      </c>
      <c r="G26">
        <v>2021</v>
      </c>
      <c r="H26">
        <v>2022</v>
      </c>
      <c r="I26" s="60" t="s">
        <v>124</v>
      </c>
    </row>
    <row r="27" spans="1:9">
      <c r="A27" s="3" t="s">
        <v>5</v>
      </c>
      <c r="B27" s="14">
        <v>161179437.77000001</v>
      </c>
      <c r="C27" s="14">
        <v>185811490.78</v>
      </c>
      <c r="D27" s="14">
        <v>247797881.41</v>
      </c>
      <c r="E27" s="15">
        <v>235723739.56</v>
      </c>
      <c r="F27" s="62">
        <v>283710327.92000002</v>
      </c>
      <c r="G27" s="66">
        <f>F27*G19/F19/1000000</f>
        <v>404.13135353206741</v>
      </c>
      <c r="H27" s="66">
        <f>F27*H2/F2</f>
        <v>407536659.88393265</v>
      </c>
      <c r="I27" t="s">
        <v>123</v>
      </c>
    </row>
    <row r="28" spans="1:9" ht="15" customHeight="1">
      <c r="A28" s="7" t="s">
        <v>19</v>
      </c>
      <c r="B28" s="14">
        <v>66415387.700000003</v>
      </c>
      <c r="C28" s="5">
        <v>70286051.989999995</v>
      </c>
      <c r="D28" s="5">
        <v>134668246.75</v>
      </c>
      <c r="E28" s="16">
        <v>200921501.40000001</v>
      </c>
      <c r="F28" s="63">
        <f>171837274.26+F29</f>
        <v>254720969.25999999</v>
      </c>
      <c r="G28" s="66">
        <f>F28*G19/F19/1000000</f>
        <v>362.83744351058982</v>
      </c>
      <c r="H28" s="66">
        <f>F28*H3/F3</f>
        <v>452192270.22661424</v>
      </c>
    </row>
    <row r="29" spans="1:9" ht="15" customHeight="1">
      <c r="A29" s="8" t="s">
        <v>20</v>
      </c>
      <c r="B29" s="14">
        <v>21054960.280000001</v>
      </c>
      <c r="C29" s="14">
        <v>22693401.460000001</v>
      </c>
      <c r="D29" s="14">
        <v>238265280.36000001</v>
      </c>
      <c r="E29" s="16">
        <v>65701773.240000002</v>
      </c>
      <c r="F29" s="63">
        <v>82883695</v>
      </c>
      <c r="G29" s="66">
        <f>F29*G19/F19/1000000</f>
        <v>118.06373103038442</v>
      </c>
      <c r="H29" s="66">
        <f>F30*H28</f>
        <v>147138911.71073613</v>
      </c>
    </row>
    <row r="30" spans="1:9" ht="15" customHeight="1">
      <c r="A30" s="7" t="s">
        <v>21</v>
      </c>
      <c r="B30" s="12">
        <f>B29/B28</f>
        <v>0.31701930846366194</v>
      </c>
      <c r="C30" s="12">
        <f>C29/C28</f>
        <v>0.32287204669325748</v>
      </c>
      <c r="D30" s="12">
        <f>D29/D28</f>
        <v>1.7692758769060013</v>
      </c>
      <c r="E30" s="12">
        <f>E29/E28</f>
        <v>0.32700220126863933</v>
      </c>
      <c r="F30" s="64">
        <f>F29/F28</f>
        <v>0.32539015237256952</v>
      </c>
      <c r="G30" s="64">
        <f t="shared" ref="G30:H30" si="0">G29/G28</f>
        <v>0.32539015237256952</v>
      </c>
      <c r="H30" s="64">
        <f t="shared" si="0"/>
        <v>0.32539015237256952</v>
      </c>
    </row>
    <row r="31" spans="1:9" ht="15" customHeight="1">
      <c r="A31" s="3" t="s">
        <v>22</v>
      </c>
      <c r="B31" s="5">
        <v>349</v>
      </c>
      <c r="C31" s="5">
        <v>429</v>
      </c>
      <c r="D31" s="5">
        <v>447</v>
      </c>
      <c r="E31" s="5">
        <v>241</v>
      </c>
      <c r="F31" s="65">
        <v>255</v>
      </c>
      <c r="G31" s="66">
        <f>F31*G25/F25</f>
        <v>261.50746268656718</v>
      </c>
      <c r="H31" s="66">
        <f>F31*H14/F14</f>
        <v>284.48979591836735</v>
      </c>
    </row>
    <row r="32" spans="1:9" ht="15" customHeight="1"/>
    <row r="33" spans="1:9" ht="15" customHeight="1">
      <c r="A33" s="7" t="s">
        <v>125</v>
      </c>
    </row>
    <row r="34" spans="1:9" ht="15" customHeight="1">
      <c r="A34" s="7" t="s">
        <v>126</v>
      </c>
      <c r="F34">
        <v>2385</v>
      </c>
      <c r="G34">
        <v>4444</v>
      </c>
    </row>
    <row r="35" spans="1:9" ht="33.15" customHeight="1">
      <c r="A35" s="7"/>
    </row>
    <row r="36" spans="1:9" ht="30.6" customHeight="1"/>
    <row r="37" spans="1:9" ht="15" customHeight="1">
      <c r="A37" s="8" t="s">
        <v>142</v>
      </c>
      <c r="B37" s="9"/>
      <c r="C37" s="9"/>
      <c r="D37" s="9"/>
      <c r="E37" s="9"/>
      <c r="F37" s="9"/>
      <c r="G37" s="61">
        <f>G31/G14</f>
        <v>1.8034997426659807E-3</v>
      </c>
      <c r="H37" s="61"/>
      <c r="I37" s="60"/>
    </row>
    <row r="38" spans="1:9" ht="15" customHeight="1">
      <c r="A38" s="8" t="s">
        <v>143</v>
      </c>
      <c r="B38" s="9"/>
      <c r="C38" s="9"/>
      <c r="D38" s="9"/>
      <c r="E38" s="9"/>
      <c r="F38" s="9"/>
      <c r="G38" s="61">
        <f>0.5*G17+0.5*G37</f>
        <v>1.2458610970787459E-2</v>
      </c>
      <c r="H38" s="61"/>
      <c r="I38" s="60"/>
    </row>
    <row r="39" spans="1:9" ht="23.7" customHeight="1"/>
    <row r="40" spans="1:9" ht="15" customHeight="1"/>
    <row r="41" spans="1:9" ht="15" customHeight="1"/>
    <row r="42" spans="1:9" ht="15" customHeight="1"/>
    <row r="43" spans="1:9" ht="15" customHeight="1"/>
    <row r="44" spans="1:9" ht="15" customHeight="1"/>
    <row r="45" spans="1:9" ht="15" customHeight="1"/>
    <row r="46" spans="1:9" ht="15" customHeight="1"/>
    <row r="47" spans="1:9" ht="15" customHeight="1"/>
    <row r="48" spans="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2"/>
  <sheetViews>
    <sheetView topLeftCell="A17" zoomScaleNormal="100" workbookViewId="0">
      <selection activeCell="H17" sqref="H17"/>
    </sheetView>
  </sheetViews>
  <sheetFormatPr baseColWidth="10" defaultColWidth="8.6640625" defaultRowHeight="14.4"/>
  <cols>
    <col min="1" max="1" width="34" style="67" customWidth="1"/>
    <col min="2" max="6" width="20.44140625" customWidth="1"/>
    <col min="7" max="7" width="11" bestFit="1" customWidth="1"/>
    <col min="8" max="8" width="11" customWidth="1"/>
    <col min="10" max="10" width="24.88671875" customWidth="1"/>
    <col min="11" max="11" width="11.21875" style="67" customWidth="1"/>
    <col min="12" max="12" width="12.44140625" customWidth="1"/>
    <col min="13" max="13" width="13.44140625" customWidth="1"/>
    <col min="14" max="14" width="15.88671875" customWidth="1"/>
    <col min="15" max="15" width="17.77734375" customWidth="1"/>
    <col min="16" max="16" width="12.88671875" customWidth="1"/>
    <col min="17" max="17" width="8.6640625" customWidth="1"/>
  </cols>
  <sheetData>
    <row r="1" spans="1:18" ht="15" customHeight="1">
      <c r="A1" s="2" t="s">
        <v>24</v>
      </c>
      <c r="B1" s="2" t="s">
        <v>0</v>
      </c>
      <c r="C1" s="2" t="s">
        <v>1</v>
      </c>
      <c r="D1" s="2" t="s">
        <v>2</v>
      </c>
      <c r="E1" s="2" t="s">
        <v>3</v>
      </c>
      <c r="F1" s="2" t="s">
        <v>4</v>
      </c>
      <c r="G1" s="2">
        <v>2021</v>
      </c>
      <c r="H1" s="2">
        <v>2022</v>
      </c>
      <c r="I1" s="2" t="s">
        <v>111</v>
      </c>
      <c r="L1" s="2" t="s">
        <v>0</v>
      </c>
      <c r="M1" s="2" t="s">
        <v>1</v>
      </c>
      <c r="N1" s="2" t="s">
        <v>2</v>
      </c>
      <c r="O1" s="2" t="s">
        <v>3</v>
      </c>
      <c r="P1" s="2" t="s">
        <v>4</v>
      </c>
      <c r="Q1">
        <v>2021</v>
      </c>
    </row>
    <row r="2" spans="1:18" ht="15" customHeight="1">
      <c r="A2" s="58" t="s">
        <v>5</v>
      </c>
      <c r="B2" s="4">
        <v>27638</v>
      </c>
      <c r="C2" s="4">
        <v>40653</v>
      </c>
      <c r="D2" s="4">
        <v>55838</v>
      </c>
      <c r="E2" s="4">
        <v>70697</v>
      </c>
      <c r="F2" s="4">
        <v>85965</v>
      </c>
      <c r="G2" s="4">
        <v>117929</v>
      </c>
      <c r="H2" s="4">
        <v>116609</v>
      </c>
      <c r="I2" s="4">
        <v>1</v>
      </c>
      <c r="K2" s="58" t="s">
        <v>5</v>
      </c>
      <c r="L2" s="4">
        <v>27638</v>
      </c>
      <c r="M2" s="4">
        <v>40653</v>
      </c>
      <c r="N2" s="4">
        <v>55838</v>
      </c>
      <c r="O2" s="4">
        <v>70697</v>
      </c>
      <c r="P2" s="4">
        <v>85965</v>
      </c>
    </row>
    <row r="3" spans="1:18" ht="25.2" customHeight="1">
      <c r="A3" s="68" t="s">
        <v>10</v>
      </c>
      <c r="B3" s="4">
        <v>12518</v>
      </c>
      <c r="C3" s="4">
        <v>20594</v>
      </c>
      <c r="D3" s="4">
        <v>25361</v>
      </c>
      <c r="E3" s="4">
        <v>24812</v>
      </c>
      <c r="F3" s="4">
        <v>33180</v>
      </c>
      <c r="G3" s="4">
        <v>47284</v>
      </c>
      <c r="H3" s="4">
        <v>28819</v>
      </c>
      <c r="I3" s="4">
        <v>1</v>
      </c>
      <c r="K3" s="58" t="s">
        <v>28</v>
      </c>
      <c r="L3" s="5"/>
      <c r="M3" s="5"/>
      <c r="N3" s="5"/>
      <c r="O3" s="22">
        <v>44.14</v>
      </c>
      <c r="P3" s="5">
        <f>8357/427</f>
        <v>19.571428571428573</v>
      </c>
    </row>
    <row r="4" spans="1:18" ht="15" customHeight="1">
      <c r="A4" s="68" t="s">
        <v>11</v>
      </c>
      <c r="B4" s="21">
        <v>6368</v>
      </c>
      <c r="C4" s="21">
        <v>7079</v>
      </c>
      <c r="D4" s="21">
        <v>8800</v>
      </c>
      <c r="E4" s="21">
        <v>5317</v>
      </c>
      <c r="F4" s="21">
        <v>24233</v>
      </c>
      <c r="G4" s="21">
        <v>43669</v>
      </c>
      <c r="H4" s="21">
        <v>25025</v>
      </c>
      <c r="I4" s="60" t="s">
        <v>144</v>
      </c>
      <c r="K4" s="58" t="s">
        <v>29</v>
      </c>
      <c r="L4" s="5"/>
      <c r="M4" s="5"/>
      <c r="N4" s="5"/>
      <c r="O4" s="22">
        <v>139.35</v>
      </c>
      <c r="P4" s="5">
        <f>15826/262</f>
        <v>60.404580152671755</v>
      </c>
    </row>
    <row r="5" spans="1:18" ht="15" customHeight="1">
      <c r="A5" s="68" t="s">
        <v>12</v>
      </c>
      <c r="B5" s="21">
        <v>6150</v>
      </c>
      <c r="C5" s="21">
        <v>13515</v>
      </c>
      <c r="D5" s="21">
        <v>16561</v>
      </c>
      <c r="E5" s="21">
        <v>19495</v>
      </c>
      <c r="F5" s="21">
        <v>8947</v>
      </c>
      <c r="G5" s="21">
        <v>3615</v>
      </c>
      <c r="H5" s="21">
        <v>3794</v>
      </c>
      <c r="I5" s="60" t="s">
        <v>144</v>
      </c>
      <c r="J5" s="10"/>
      <c r="K5" s="58" t="s">
        <v>30</v>
      </c>
      <c r="L5" s="5"/>
      <c r="M5" s="5"/>
      <c r="N5" s="5"/>
      <c r="O5" s="22">
        <f>(O3+O4)/2</f>
        <v>91.745000000000005</v>
      </c>
      <c r="P5" s="5">
        <f>AVERAGE(P3:P4)</f>
        <v>39.988004362050162</v>
      </c>
    </row>
    <row r="6" spans="1:18" ht="15" customHeight="1">
      <c r="A6" s="68" t="s">
        <v>13</v>
      </c>
      <c r="B6" s="21">
        <v>2301</v>
      </c>
      <c r="C6" s="21">
        <v>4660</v>
      </c>
      <c r="D6" s="21">
        <v>3249</v>
      </c>
      <c r="E6" s="21">
        <v>6327</v>
      </c>
      <c r="F6" s="21">
        <v>4034</v>
      </c>
      <c r="G6" s="21">
        <v>7914</v>
      </c>
      <c r="H6" s="21">
        <v>5619</v>
      </c>
      <c r="I6" s="21">
        <v>1</v>
      </c>
      <c r="K6" s="58" t="s">
        <v>31</v>
      </c>
      <c r="L6" s="5"/>
      <c r="M6" s="5"/>
      <c r="N6" s="5"/>
      <c r="O6" s="22">
        <v>31575833</v>
      </c>
      <c r="P6" s="5">
        <v>43930000</v>
      </c>
    </row>
    <row r="7" spans="1:18" ht="15" customHeight="1">
      <c r="A7" s="68" t="s">
        <v>11</v>
      </c>
      <c r="B7" s="21">
        <v>2131</v>
      </c>
      <c r="C7" s="21">
        <v>4316</v>
      </c>
      <c r="D7" s="21">
        <v>2273</v>
      </c>
      <c r="E7" s="21">
        <v>4866</v>
      </c>
      <c r="F7" s="21">
        <v>2839</v>
      </c>
      <c r="G7">
        <f>SUM(G8:G9)</f>
        <v>6147</v>
      </c>
      <c r="I7" s="60" t="s">
        <v>144</v>
      </c>
      <c r="K7" s="58" t="s">
        <v>8</v>
      </c>
      <c r="L7" s="5">
        <f>L8*L2</f>
        <v>1132.5120950435271</v>
      </c>
      <c r="M7" s="5">
        <f>M8*M2</f>
        <v>1665.8229321877309</v>
      </c>
      <c r="N7" s="5">
        <f>N8*N2</f>
        <v>2288.0530560474876</v>
      </c>
      <c r="O7" s="22">
        <f>O6*O5</f>
        <v>2896924798.585</v>
      </c>
      <c r="P7" s="5">
        <f>P5*P6</f>
        <v>1756673031.6248636</v>
      </c>
    </row>
    <row r="8" spans="1:18" ht="15" customHeight="1">
      <c r="A8" s="68" t="s">
        <v>14</v>
      </c>
      <c r="B8" s="21">
        <v>2563</v>
      </c>
      <c r="C8" s="21">
        <v>4645</v>
      </c>
      <c r="D8" s="21">
        <v>1923</v>
      </c>
      <c r="E8" s="21">
        <v>4886</v>
      </c>
      <c r="F8" s="21">
        <v>3820</v>
      </c>
      <c r="G8">
        <f>4971+548</f>
        <v>5519</v>
      </c>
      <c r="H8">
        <f>6094+874</f>
        <v>6968</v>
      </c>
      <c r="I8" s="60" t="s">
        <v>144</v>
      </c>
      <c r="K8" s="68" t="s">
        <v>9</v>
      </c>
      <c r="L8" s="160">
        <f>O8</f>
        <v>4.0976629822835481E-2</v>
      </c>
      <c r="M8" s="160">
        <f>O8</f>
        <v>4.0976629822835481E-2</v>
      </c>
      <c r="N8" s="160">
        <f>O8</f>
        <v>4.0976629822835481E-2</v>
      </c>
      <c r="O8" s="160">
        <f>O7/(O2*1000000)</f>
        <v>4.0976629822835481E-2</v>
      </c>
      <c r="P8" s="160">
        <f>O8</f>
        <v>4.0976629822835481E-2</v>
      </c>
    </row>
    <row r="9" spans="1:18" ht="15" customHeight="1">
      <c r="A9" s="68" t="s">
        <v>15</v>
      </c>
      <c r="B9" s="21">
        <v>-432</v>
      </c>
      <c r="C9" s="21">
        <v>-329</v>
      </c>
      <c r="D9" s="21">
        <v>350</v>
      </c>
      <c r="E9" s="21">
        <v>-20</v>
      </c>
      <c r="F9" s="21">
        <v>-981</v>
      </c>
      <c r="G9">
        <f>585+43</f>
        <v>628</v>
      </c>
      <c r="H9">
        <f>-2776-405</f>
        <v>-3181</v>
      </c>
      <c r="I9" s="60" t="s">
        <v>144</v>
      </c>
      <c r="K9" s="70" t="s">
        <v>146</v>
      </c>
      <c r="O9">
        <v>16826</v>
      </c>
      <c r="P9">
        <v>20349</v>
      </c>
      <c r="Q9">
        <v>29057</v>
      </c>
    </row>
    <row r="10" spans="1:18" ht="15" customHeight="1">
      <c r="A10" s="68" t="s">
        <v>12</v>
      </c>
      <c r="B10" s="21">
        <v>170</v>
      </c>
      <c r="C10" s="21">
        <v>344</v>
      </c>
      <c r="D10" s="21">
        <v>976</v>
      </c>
      <c r="E10" s="21">
        <v>1461</v>
      </c>
      <c r="F10" s="21">
        <v>1195</v>
      </c>
      <c r="G10">
        <f>SUM(G11:G12)</f>
        <v>1767</v>
      </c>
      <c r="I10" s="60" t="s">
        <v>144</v>
      </c>
      <c r="K10" s="70" t="s">
        <v>9</v>
      </c>
      <c r="O10">
        <f>O8</f>
        <v>4.0976629822835481E-2</v>
      </c>
      <c r="P10">
        <f>P8</f>
        <v>4.0976629822835481E-2</v>
      </c>
      <c r="Q10">
        <f>0.2*Q9</f>
        <v>5811.4000000000005</v>
      </c>
    </row>
    <row r="11" spans="1:18" ht="15" customHeight="1">
      <c r="A11" s="68" t="s">
        <v>14</v>
      </c>
      <c r="B11" s="21">
        <v>195</v>
      </c>
      <c r="C11" s="21">
        <v>389</v>
      </c>
      <c r="D11" s="21">
        <v>1031</v>
      </c>
      <c r="E11" s="21">
        <v>1481</v>
      </c>
      <c r="F11" s="21">
        <v>1211</v>
      </c>
      <c r="G11" s="21">
        <v>1786</v>
      </c>
      <c r="H11" s="21">
        <v>1928</v>
      </c>
      <c r="I11" s="60" t="s">
        <v>144</v>
      </c>
      <c r="Q11">
        <f>Q10/G2</f>
        <v>4.927880334777706E-2</v>
      </c>
      <c r="R11" s="226">
        <f>Q11</f>
        <v>4.927880334777706E-2</v>
      </c>
    </row>
    <row r="12" spans="1:18" ht="15" customHeight="1">
      <c r="A12" s="68" t="s">
        <v>15</v>
      </c>
      <c r="B12" s="21">
        <v>-25</v>
      </c>
      <c r="C12" s="21">
        <v>-45</v>
      </c>
      <c r="D12" s="21">
        <v>-55</v>
      </c>
      <c r="E12" s="21">
        <v>-20</v>
      </c>
      <c r="F12" s="21">
        <v>-16</v>
      </c>
      <c r="G12" s="21">
        <v>-19</v>
      </c>
      <c r="H12" s="21">
        <v>-96</v>
      </c>
      <c r="I12" s="60" t="s">
        <v>144</v>
      </c>
    </row>
    <row r="13" spans="1:18" ht="15" customHeight="1">
      <c r="A13" s="68" t="s">
        <v>117</v>
      </c>
      <c r="E13">
        <v>5182</v>
      </c>
      <c r="F13">
        <v>4229</v>
      </c>
      <c r="G13">
        <v>8525</v>
      </c>
      <c r="H13">
        <v>6407</v>
      </c>
      <c r="I13">
        <v>2</v>
      </c>
    </row>
    <row r="14" spans="1:18" ht="15" customHeight="1">
      <c r="A14" s="68" t="s">
        <v>32</v>
      </c>
      <c r="B14" s="5">
        <v>17048</v>
      </c>
      <c r="C14" s="5">
        <v>25105</v>
      </c>
      <c r="D14" s="5">
        <v>35587</v>
      </c>
      <c r="E14" s="5">
        <v>44942</v>
      </c>
      <c r="F14" s="5">
        <v>58604</v>
      </c>
      <c r="G14" s="5">
        <v>71970</v>
      </c>
      <c r="H14" s="5">
        <v>86482</v>
      </c>
      <c r="I14" s="60" t="s">
        <v>145</v>
      </c>
    </row>
    <row r="15" spans="1:18" ht="15" customHeight="1">
      <c r="A15" s="68" t="s">
        <v>113</v>
      </c>
      <c r="B15" s="5"/>
      <c r="C15" s="5"/>
      <c r="D15" s="5"/>
      <c r="E15">
        <v>16826</v>
      </c>
      <c r="F15">
        <v>20349</v>
      </c>
      <c r="G15">
        <v>29057</v>
      </c>
      <c r="I15" s="60" t="s">
        <v>317</v>
      </c>
    </row>
    <row r="16" spans="1:18" ht="15" customHeight="1">
      <c r="A16" s="68" t="s">
        <v>114</v>
      </c>
      <c r="B16" s="5"/>
      <c r="C16" s="5"/>
      <c r="D16" s="5"/>
      <c r="E16" s="5"/>
      <c r="F16" s="5"/>
      <c r="G16">
        <f>0.2*G15</f>
        <v>5811.4000000000005</v>
      </c>
      <c r="I16" s="60" t="s">
        <v>121</v>
      </c>
    </row>
    <row r="17" spans="1:9" ht="15" customHeight="1">
      <c r="A17" s="68" t="s">
        <v>9</v>
      </c>
      <c r="B17" s="6">
        <v>4.0976629822835481E-2</v>
      </c>
      <c r="C17" s="6">
        <v>4.0976629822835481E-2</v>
      </c>
      <c r="D17" s="6">
        <v>4.0976629822835481E-2</v>
      </c>
      <c r="E17" s="161">
        <v>4.0976629822835481E-2</v>
      </c>
      <c r="F17" s="161">
        <v>4.0976629822835481E-2</v>
      </c>
      <c r="G17" s="61">
        <f>Q11</f>
        <v>4.927880334777706E-2</v>
      </c>
      <c r="H17" s="61">
        <f>R11</f>
        <v>4.927880334777706E-2</v>
      </c>
      <c r="I17" s="60" t="s">
        <v>121</v>
      </c>
    </row>
    <row r="18" spans="1:9" ht="15" customHeight="1">
      <c r="A18" s="59" t="s">
        <v>149</v>
      </c>
      <c r="B18" s="23"/>
      <c r="C18" s="23">
        <v>2017</v>
      </c>
      <c r="D18" s="23">
        <v>2018</v>
      </c>
      <c r="E18" s="23">
        <v>2019</v>
      </c>
      <c r="F18" s="23">
        <v>2020</v>
      </c>
      <c r="G18" s="23">
        <v>2021</v>
      </c>
      <c r="H18" s="23"/>
    </row>
    <row r="19" spans="1:9" ht="15" customHeight="1">
      <c r="A19" s="58" t="s">
        <v>5</v>
      </c>
      <c r="B19" s="4"/>
      <c r="C19" s="4">
        <v>19035256</v>
      </c>
      <c r="D19" s="4">
        <v>25491810</v>
      </c>
      <c r="E19" s="26">
        <v>34326146</v>
      </c>
      <c r="F19" s="26">
        <v>40590879</v>
      </c>
      <c r="I19" s="60" t="s">
        <v>150</v>
      </c>
    </row>
    <row r="20" spans="1:9" ht="15" customHeight="1">
      <c r="A20" s="58" t="s">
        <v>23</v>
      </c>
      <c r="B20" s="4"/>
      <c r="C20" s="4">
        <v>251778</v>
      </c>
      <c r="D20" s="4">
        <v>361286</v>
      </c>
      <c r="E20" s="26">
        <v>481880</v>
      </c>
      <c r="F20" s="26">
        <v>889630</v>
      </c>
    </row>
    <row r="21" spans="1:9" ht="15" customHeight="1">
      <c r="A21" s="58" t="s">
        <v>13</v>
      </c>
      <c r="B21" s="19"/>
      <c r="C21" s="19">
        <v>38320</v>
      </c>
      <c r="D21" s="19">
        <v>63209</v>
      </c>
      <c r="E21" s="26">
        <v>173223</v>
      </c>
      <c r="F21" s="26">
        <v>226331</v>
      </c>
    </row>
    <row r="22" spans="1:9" ht="15" customHeight="1">
      <c r="A22" s="58" t="s">
        <v>14</v>
      </c>
    </row>
    <row r="23" spans="1:9" ht="15" customHeight="1">
      <c r="A23" s="58" t="s">
        <v>15</v>
      </c>
    </row>
    <row r="24" spans="1:9" ht="15" customHeight="1">
      <c r="A24" s="58" t="s">
        <v>21</v>
      </c>
      <c r="B24" s="20"/>
      <c r="C24" s="12">
        <f>C21/C20</f>
        <v>0.15219757087593039</v>
      </c>
      <c r="D24" s="12">
        <f>D21/D20</f>
        <v>0.17495557536134806</v>
      </c>
      <c r="E24" s="27"/>
      <c r="F24" s="28"/>
    </row>
    <row r="25" spans="1:9" ht="15" customHeight="1">
      <c r="A25" s="67" t="s">
        <v>22</v>
      </c>
      <c r="C25" s="4">
        <v>1008</v>
      </c>
      <c r="D25" s="4">
        <v>1330</v>
      </c>
      <c r="E25" s="27"/>
      <c r="F25" s="26"/>
    </row>
    <row r="26" spans="1:9" ht="27.75" customHeight="1">
      <c r="A26" s="59" t="s">
        <v>18</v>
      </c>
      <c r="B26" s="23"/>
      <c r="C26" s="23"/>
      <c r="D26" s="23">
        <v>2018</v>
      </c>
      <c r="E26" s="23">
        <v>2019</v>
      </c>
      <c r="F26" s="23">
        <v>2020</v>
      </c>
      <c r="G26" s="23">
        <v>2021</v>
      </c>
      <c r="H26" s="23">
        <v>2022</v>
      </c>
      <c r="I26" s="60"/>
    </row>
    <row r="27" spans="1:9" ht="15" customHeight="1">
      <c r="A27" s="58" t="s">
        <v>5</v>
      </c>
      <c r="B27" s="14">
        <v>26202240.379999999</v>
      </c>
      <c r="C27" s="14">
        <v>35662916.289999999</v>
      </c>
      <c r="D27" s="14">
        <v>433948497.81</v>
      </c>
      <c r="E27" s="24">
        <v>976334111.60000002</v>
      </c>
      <c r="F27" s="25">
        <v>1087904984.6700001</v>
      </c>
      <c r="G27" s="71">
        <f>F27*$G$2/$F$2/1000000</f>
        <v>1492.4160639463553</v>
      </c>
      <c r="H27" s="71">
        <f>F27*H2/F2</f>
        <v>1475711188.9418256</v>
      </c>
      <c r="I27" t="s">
        <v>148</v>
      </c>
    </row>
    <row r="28" spans="1:9" ht="27.75" customHeight="1">
      <c r="A28" s="58" t="s">
        <v>19</v>
      </c>
      <c r="B28" s="14">
        <v>2147321.5</v>
      </c>
      <c r="C28" s="5">
        <v>2459932.5499999998</v>
      </c>
      <c r="D28" s="5">
        <v>13982983.77</v>
      </c>
      <c r="E28" s="14">
        <v>28044618.449999999</v>
      </c>
      <c r="F28" s="16">
        <v>31287360.879999999</v>
      </c>
      <c r="G28" s="71">
        <f>F28*$G$2/$F$2/1000000</f>
        <v>42.920807086808814</v>
      </c>
      <c r="H28" s="71">
        <f>F28*H3/F3</f>
        <v>27175119.144084387</v>
      </c>
    </row>
    <row r="29" spans="1:9" ht="15" customHeight="1">
      <c r="A29" s="68" t="s">
        <v>13</v>
      </c>
      <c r="B29" s="14">
        <v>682847.19</v>
      </c>
      <c r="C29" s="14">
        <v>1001266.63</v>
      </c>
      <c r="D29" s="14">
        <v>5140002.63</v>
      </c>
      <c r="E29" s="14">
        <v>9218659.2200000007</v>
      </c>
      <c r="F29" s="16">
        <v>10256148.449999999</v>
      </c>
      <c r="G29" s="71">
        <f>F29*$G$2/$F$2/1000000</f>
        <v>14.069648468098061</v>
      </c>
      <c r="H29" s="71">
        <f>F30*H28</f>
        <v>8908135.6895886064</v>
      </c>
    </row>
    <row r="30" spans="1:9" ht="15" customHeight="1">
      <c r="A30" s="58" t="s">
        <v>21</v>
      </c>
      <c r="B30" s="12">
        <f t="shared" ref="B30:G30" si="0">B29/B28</f>
        <v>0.31799951241581659</v>
      </c>
      <c r="C30" s="12">
        <f t="shared" si="0"/>
        <v>0.40703011552085039</v>
      </c>
      <c r="D30" s="12">
        <f t="shared" si="0"/>
        <v>0.36758983022119318</v>
      </c>
      <c r="E30" s="12">
        <f t="shared" si="0"/>
        <v>0.32871401821478519</v>
      </c>
      <c r="F30" s="35">
        <f t="shared" si="0"/>
        <v>0.32780484392200993</v>
      </c>
      <c r="G30" s="35">
        <f t="shared" si="0"/>
        <v>0.32780484392200993</v>
      </c>
      <c r="H30" s="35">
        <f>H29/H28</f>
        <v>0.32780484392200993</v>
      </c>
    </row>
    <row r="31" spans="1:9" ht="15" customHeight="1">
      <c r="A31" s="58" t="s">
        <v>22</v>
      </c>
      <c r="B31" s="5">
        <v>72</v>
      </c>
      <c r="C31" s="5">
        <v>96</v>
      </c>
      <c r="D31" s="5">
        <v>134</v>
      </c>
      <c r="E31" s="5">
        <v>165</v>
      </c>
      <c r="F31" s="5">
        <v>209</v>
      </c>
      <c r="G31" s="71">
        <f>F31*$G$2/$F$2</f>
        <v>286.7115802943058</v>
      </c>
      <c r="H31" s="71">
        <f>F31*H14/F14</f>
        <v>308.42157531909083</v>
      </c>
    </row>
    <row r="32" spans="1:9" ht="15" customHeight="1"/>
    <row r="33" spans="9:9" ht="15" customHeight="1"/>
    <row r="34" spans="9:9" ht="15" customHeight="1"/>
    <row r="35" spans="9:9" ht="15" customHeight="1"/>
    <row r="36" spans="9:9" ht="15" customHeight="1"/>
    <row r="37" spans="9:9" ht="15" customHeight="1">
      <c r="I37" s="60"/>
    </row>
    <row r="38" spans="9:9">
      <c r="I38" s="60"/>
    </row>
    <row r="39" spans="9:9" ht="15" customHeight="1"/>
    <row r="40" spans="9:9" ht="15" customHeight="1"/>
    <row r="41" spans="9:9" ht="33.15" customHeight="1"/>
    <row r="42" spans="9:9" ht="30.6" customHeight="1"/>
    <row r="43" spans="9:9" ht="32.700000000000003" customHeight="1"/>
    <row r="44" spans="9:9" ht="32.700000000000003" customHeight="1"/>
    <row r="45" spans="9:9" ht="23.7" customHeight="1"/>
    <row r="46" spans="9:9" ht="15" customHeight="1"/>
    <row r="47" spans="9:9" ht="15" customHeight="1"/>
    <row r="48" spans="9: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7:14" ht="15" customHeight="1"/>
    <row r="66" spans="7:14" ht="15" customHeight="1">
      <c r="G66" s="29" t="s">
        <v>33</v>
      </c>
      <c r="H66" s="29"/>
      <c r="I66" s="29"/>
      <c r="J66" s="29"/>
      <c r="K66" s="69"/>
      <c r="L66" s="29"/>
      <c r="M66" s="29"/>
      <c r="N66" s="29"/>
    </row>
    <row r="67" spans="7:14" ht="15" customHeight="1"/>
    <row r="68" spans="7:14" ht="15" customHeight="1">
      <c r="G68" s="29" t="s">
        <v>33</v>
      </c>
      <c r="H68" s="29"/>
      <c r="I68" s="29"/>
      <c r="J68" s="29"/>
      <c r="K68" s="69"/>
      <c r="L68" s="29"/>
      <c r="M68" s="29"/>
      <c r="N68" s="29"/>
    </row>
    <row r="69" spans="7:14" ht="15" customHeight="1"/>
    <row r="70" spans="7:14" ht="15" customHeight="1"/>
    <row r="71" spans="7:14" ht="15" customHeight="1"/>
    <row r="72" spans="7:14"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64"/>
  <sheetViews>
    <sheetView topLeftCell="A11" zoomScale="87" zoomScaleNormal="100" workbookViewId="0">
      <selection activeCell="C5" sqref="C5"/>
    </sheetView>
  </sheetViews>
  <sheetFormatPr baseColWidth="10" defaultColWidth="8.6640625" defaultRowHeight="14.4"/>
  <cols>
    <col min="1" max="1" width="34" customWidth="1"/>
    <col min="2" max="6" width="16.21875" customWidth="1"/>
    <col min="7" max="8" width="21.5546875" customWidth="1"/>
    <col min="9" max="9" width="11.44140625" bestFit="1" customWidth="1"/>
    <col min="10" max="10" width="11" bestFit="1" customWidth="1"/>
    <col min="12" max="12" width="15.6640625" customWidth="1"/>
    <col min="13" max="13" width="17.44140625" customWidth="1"/>
    <col min="14" max="15" width="18" customWidth="1"/>
    <col min="32" max="32" width="17.5546875" bestFit="1" customWidth="1"/>
    <col min="33" max="33" width="14.6640625" bestFit="1" customWidth="1"/>
    <col min="34" max="34" width="9.88671875" bestFit="1" customWidth="1"/>
    <col min="39" max="39" width="13.6640625" bestFit="1" customWidth="1"/>
    <col min="40" max="40" width="14.77734375" customWidth="1"/>
    <col min="41" max="41" width="11.33203125" bestFit="1" customWidth="1"/>
  </cols>
  <sheetData>
    <row r="1" spans="1:16" ht="15" customHeight="1">
      <c r="A1" s="2" t="s">
        <v>24</v>
      </c>
      <c r="B1" s="2" t="s">
        <v>0</v>
      </c>
      <c r="C1" s="2" t="s">
        <v>1</v>
      </c>
      <c r="D1" s="2" t="s">
        <v>2</v>
      </c>
      <c r="E1" s="2" t="s">
        <v>3</v>
      </c>
      <c r="F1" s="2" t="s">
        <v>4</v>
      </c>
      <c r="G1" s="2">
        <v>2021</v>
      </c>
      <c r="H1" s="2">
        <v>2022</v>
      </c>
      <c r="I1" s="2" t="s">
        <v>111</v>
      </c>
      <c r="K1" s="67" t="s">
        <v>66</v>
      </c>
      <c r="L1" s="2" t="s">
        <v>0</v>
      </c>
      <c r="M1" s="2" t="s">
        <v>1</v>
      </c>
      <c r="N1" s="2" t="s">
        <v>2</v>
      </c>
      <c r="O1" s="2" t="s">
        <v>3</v>
      </c>
      <c r="P1" s="2" t="s">
        <v>4</v>
      </c>
    </row>
    <row r="2" spans="1:16" ht="15" customHeight="1">
      <c r="A2" s="34" t="s">
        <v>5</v>
      </c>
      <c r="D2" s="4">
        <v>136819</v>
      </c>
      <c r="E2" s="4">
        <v>161857</v>
      </c>
      <c r="F2" s="4">
        <v>182527</v>
      </c>
      <c r="G2" s="4">
        <v>257637</v>
      </c>
      <c r="H2" s="4">
        <v>282836</v>
      </c>
      <c r="I2" s="4">
        <v>1</v>
      </c>
      <c r="K2" t="s">
        <v>5</v>
      </c>
      <c r="N2" s="4">
        <v>136819</v>
      </c>
      <c r="O2" s="4">
        <v>161857</v>
      </c>
      <c r="P2" s="4">
        <v>182527</v>
      </c>
    </row>
    <row r="3" spans="1:16" ht="15" customHeight="1">
      <c r="A3" s="8" t="s">
        <v>10</v>
      </c>
      <c r="B3">
        <v>24150</v>
      </c>
      <c r="C3">
        <v>27193</v>
      </c>
      <c r="D3" s="4">
        <v>34913</v>
      </c>
      <c r="E3" s="4">
        <v>39625</v>
      </c>
      <c r="F3" s="4">
        <v>48082</v>
      </c>
      <c r="G3" s="30">
        <v>90734</v>
      </c>
      <c r="H3" s="30">
        <v>71328</v>
      </c>
      <c r="I3" s="4">
        <v>1</v>
      </c>
      <c r="K3" t="s">
        <v>34</v>
      </c>
      <c r="N3" s="4">
        <v>44739</v>
      </c>
      <c r="O3" s="4">
        <v>50645</v>
      </c>
      <c r="P3" s="4">
        <v>55370</v>
      </c>
    </row>
    <row r="4" spans="1:16" ht="15" customHeight="1">
      <c r="A4" s="8" t="s">
        <v>11</v>
      </c>
      <c r="B4">
        <v>12000</v>
      </c>
      <c r="C4">
        <v>10700</v>
      </c>
      <c r="D4" s="4">
        <v>15800</v>
      </c>
      <c r="E4" s="4">
        <v>16426</v>
      </c>
      <c r="F4" s="4">
        <v>37576</v>
      </c>
      <c r="G4" s="30">
        <v>77016</v>
      </c>
      <c r="H4" s="30">
        <v>61307</v>
      </c>
      <c r="I4" s="60" t="s">
        <v>144</v>
      </c>
    </row>
    <row r="5" spans="1:16" ht="15" customHeight="1">
      <c r="A5" s="8" t="s">
        <v>12</v>
      </c>
      <c r="B5">
        <v>12100</v>
      </c>
      <c r="C5">
        <v>16500</v>
      </c>
      <c r="D5" s="4">
        <v>19100</v>
      </c>
      <c r="E5" s="4">
        <v>23199</v>
      </c>
      <c r="F5" s="4">
        <v>10506</v>
      </c>
      <c r="G5" s="30">
        <v>13718</v>
      </c>
      <c r="H5" s="30">
        <v>10021</v>
      </c>
      <c r="I5" s="60" t="s">
        <v>144</v>
      </c>
      <c r="K5" t="s">
        <v>35</v>
      </c>
      <c r="L5" s="31">
        <v>0.35</v>
      </c>
      <c r="M5" s="31">
        <v>0.35</v>
      </c>
      <c r="N5" t="s">
        <v>36</v>
      </c>
      <c r="O5" t="s">
        <v>36</v>
      </c>
      <c r="P5" t="s">
        <v>36</v>
      </c>
    </row>
    <row r="6" spans="1:16" ht="15" customHeight="1">
      <c r="A6" s="8" t="s">
        <v>13</v>
      </c>
      <c r="B6">
        <v>4672</v>
      </c>
      <c r="C6">
        <v>14531</v>
      </c>
      <c r="D6" s="4">
        <v>4177</v>
      </c>
      <c r="E6" s="4">
        <v>5282</v>
      </c>
      <c r="F6" s="4">
        <v>7813</v>
      </c>
      <c r="G6" s="4">
        <v>14701</v>
      </c>
      <c r="H6" s="4">
        <v>11356</v>
      </c>
      <c r="I6" s="21">
        <v>1</v>
      </c>
      <c r="K6" t="s">
        <v>37</v>
      </c>
      <c r="L6" s="31">
        <v>0</v>
      </c>
      <c r="M6" s="31">
        <v>1E-3</v>
      </c>
      <c r="N6" t="s">
        <v>38</v>
      </c>
      <c r="O6" t="s">
        <v>39</v>
      </c>
      <c r="P6" t="s">
        <v>39</v>
      </c>
    </row>
    <row r="7" spans="1:16" ht="15" customHeight="1">
      <c r="A7" s="8" t="s">
        <v>11</v>
      </c>
      <c r="G7">
        <f>G8+G9</f>
        <v>12144</v>
      </c>
      <c r="H7">
        <f>H8+H9</f>
        <v>9068</v>
      </c>
      <c r="I7" s="60" t="s">
        <v>144</v>
      </c>
      <c r="K7" t="s">
        <v>40</v>
      </c>
      <c r="L7" s="31">
        <v>-0.02</v>
      </c>
      <c r="M7" s="31">
        <v>-1.7999999999999999E-2</v>
      </c>
      <c r="N7" t="s">
        <v>41</v>
      </c>
      <c r="O7" t="s">
        <v>42</v>
      </c>
      <c r="P7" t="s">
        <v>43</v>
      </c>
    </row>
    <row r="8" spans="1:16" ht="15" customHeight="1">
      <c r="A8" s="8" t="s">
        <v>14</v>
      </c>
      <c r="G8" s="30">
        <v>10126</v>
      </c>
      <c r="H8" s="30">
        <v>17120</v>
      </c>
      <c r="I8" s="60" t="s">
        <v>144</v>
      </c>
      <c r="K8" t="s">
        <v>44</v>
      </c>
      <c r="L8" s="31">
        <v>-3.4000000000000002E-2</v>
      </c>
      <c r="M8" s="31">
        <v>-4.4999999999999998E-2</v>
      </c>
      <c r="N8" t="s">
        <v>45</v>
      </c>
      <c r="O8" t="s">
        <v>46</v>
      </c>
      <c r="P8" t="s">
        <v>47</v>
      </c>
    </row>
    <row r="9" spans="1:16" ht="15" customHeight="1">
      <c r="A9" s="8" t="s">
        <v>15</v>
      </c>
      <c r="G9" s="30">
        <v>2018</v>
      </c>
      <c r="H9" s="30">
        <v>-8052</v>
      </c>
      <c r="I9" s="60" t="s">
        <v>144</v>
      </c>
      <c r="K9" t="s">
        <v>48</v>
      </c>
      <c r="L9" s="31">
        <v>-0.11</v>
      </c>
      <c r="M9" s="31">
        <v>-0.14199999999999999</v>
      </c>
      <c r="N9" t="s">
        <v>49</v>
      </c>
      <c r="O9" t="s">
        <v>50</v>
      </c>
      <c r="P9" t="s">
        <v>51</v>
      </c>
    </row>
    <row r="10" spans="1:16" ht="15" customHeight="1">
      <c r="A10" s="8" t="s">
        <v>12</v>
      </c>
      <c r="G10">
        <f>G11+G12</f>
        <v>2557</v>
      </c>
      <c r="H10">
        <f>H11+H12</f>
        <v>2288</v>
      </c>
      <c r="I10" s="60" t="s">
        <v>144</v>
      </c>
      <c r="K10" t="s">
        <v>52</v>
      </c>
      <c r="L10" s="31">
        <v>0</v>
      </c>
      <c r="M10" s="31">
        <v>0.36199999999999999</v>
      </c>
      <c r="N10" t="s">
        <v>53</v>
      </c>
      <c r="O10" t="s">
        <v>54</v>
      </c>
      <c r="P10" t="s">
        <v>55</v>
      </c>
    </row>
    <row r="11" spans="1:16" ht="15" customHeight="1">
      <c r="A11" s="8" t="s">
        <v>14</v>
      </c>
      <c r="G11">
        <v>2692</v>
      </c>
      <c r="H11">
        <v>2434</v>
      </c>
      <c r="I11" s="60" t="s">
        <v>144</v>
      </c>
      <c r="K11" t="s">
        <v>56</v>
      </c>
      <c r="N11" t="s">
        <v>57</v>
      </c>
      <c r="O11" t="s">
        <v>46</v>
      </c>
      <c r="P11" t="s">
        <v>58</v>
      </c>
    </row>
    <row r="12" spans="1:16">
      <c r="A12" s="8" t="s">
        <v>15</v>
      </c>
      <c r="G12">
        <v>-135</v>
      </c>
      <c r="H12">
        <v>-146</v>
      </c>
      <c r="I12" s="60" t="s">
        <v>144</v>
      </c>
      <c r="K12" t="s">
        <v>59</v>
      </c>
      <c r="N12" t="s">
        <v>60</v>
      </c>
      <c r="O12" t="s">
        <v>61</v>
      </c>
      <c r="P12" t="s">
        <v>55</v>
      </c>
    </row>
    <row r="13" spans="1:16">
      <c r="A13" s="8" t="s">
        <v>117</v>
      </c>
      <c r="E13">
        <v>8203</v>
      </c>
      <c r="F13">
        <v>4990</v>
      </c>
      <c r="G13">
        <v>13412</v>
      </c>
      <c r="H13">
        <v>18892</v>
      </c>
      <c r="I13">
        <v>2</v>
      </c>
      <c r="K13" t="s">
        <v>62</v>
      </c>
      <c r="N13" t="s">
        <v>63</v>
      </c>
      <c r="O13" t="s">
        <v>55</v>
      </c>
      <c r="P13" t="s">
        <v>64</v>
      </c>
    </row>
    <row r="14" spans="1:16">
      <c r="A14" s="10" t="s">
        <v>32</v>
      </c>
      <c r="D14" s="4">
        <v>98771</v>
      </c>
      <c r="E14" s="4">
        <v>118899</v>
      </c>
      <c r="F14" s="4">
        <v>135301</v>
      </c>
      <c r="G14" s="4">
        <v>156500</v>
      </c>
      <c r="H14" s="4">
        <v>190234</v>
      </c>
      <c r="I14" s="60" t="s">
        <v>147</v>
      </c>
      <c r="K14" t="s">
        <v>65</v>
      </c>
      <c r="L14" s="31">
        <v>8.0000000000000002E-3</v>
      </c>
      <c r="M14" s="31">
        <v>2.5999999999999999E-2</v>
      </c>
      <c r="N14" t="s">
        <v>39</v>
      </c>
      <c r="O14" t="s">
        <v>38</v>
      </c>
      <c r="P14" t="s">
        <v>55</v>
      </c>
    </row>
    <row r="15" spans="1:16">
      <c r="A15" s="56"/>
      <c r="G15">
        <f>G6/G3</f>
        <v>0.16202305640663919</v>
      </c>
      <c r="H15">
        <f>(H6-H9)/H3</f>
        <v>0.27209510991475999</v>
      </c>
    </row>
    <row r="16" spans="1:16">
      <c r="A16" s="34"/>
      <c r="G16" s="4"/>
      <c r="H16" s="4"/>
    </row>
    <row r="17" spans="1:47">
      <c r="A17" s="8" t="s">
        <v>9</v>
      </c>
      <c r="E17" s="159">
        <v>3.4200000000000001E-2</v>
      </c>
      <c r="F17" s="159">
        <v>3.4200000000000001E-2</v>
      </c>
      <c r="G17" s="159">
        <v>3.4200000000000001E-2</v>
      </c>
      <c r="H17" s="159">
        <v>3.4200000000000001E-2</v>
      </c>
      <c r="I17" s="60" t="s">
        <v>121</v>
      </c>
    </row>
    <row r="18" spans="1:47">
      <c r="A18" s="2" t="s">
        <v>115</v>
      </c>
      <c r="B18" s="2" t="s">
        <v>0</v>
      </c>
      <c r="C18" s="2" t="s">
        <v>1</v>
      </c>
      <c r="D18" s="2" t="s">
        <v>2</v>
      </c>
      <c r="E18" s="2" t="s">
        <v>3</v>
      </c>
      <c r="F18" s="2">
        <v>2020</v>
      </c>
      <c r="G18" s="2">
        <v>2021</v>
      </c>
      <c r="H18" s="2">
        <v>2022</v>
      </c>
      <c r="I18" s="2"/>
      <c r="AE18" s="2"/>
      <c r="AF18" s="2" t="s">
        <v>993</v>
      </c>
      <c r="AG18" s="2" t="s">
        <v>5</v>
      </c>
      <c r="AH18" s="2" t="s">
        <v>368</v>
      </c>
      <c r="AI18" s="2"/>
      <c r="AJ18" s="2" t="s">
        <v>22</v>
      </c>
      <c r="AK18" s="2" t="s">
        <v>369</v>
      </c>
      <c r="AL18" s="2"/>
      <c r="AM18" s="2" t="s">
        <v>75</v>
      </c>
      <c r="AN18" s="2" t="s">
        <v>13</v>
      </c>
      <c r="AO18" s="2" t="s">
        <v>95</v>
      </c>
      <c r="AP18" s="2" t="s">
        <v>370</v>
      </c>
      <c r="AQ18" s="2" t="s">
        <v>353</v>
      </c>
      <c r="AR18" s="2" t="s">
        <v>371</v>
      </c>
      <c r="AS18" s="2" t="s">
        <v>997</v>
      </c>
    </row>
    <row r="19" spans="1:47">
      <c r="A19" s="34" t="s">
        <v>5</v>
      </c>
      <c r="B19" s="3"/>
      <c r="C19" s="3"/>
      <c r="D19" s="4">
        <v>25739671000</v>
      </c>
      <c r="E19" s="4">
        <v>26520387000</v>
      </c>
      <c r="I19" s="60" t="s">
        <v>151</v>
      </c>
      <c r="AE19" t="s">
        <v>107</v>
      </c>
      <c r="AF19" s="182">
        <f>Microsoft!M2</f>
        <v>0</v>
      </c>
      <c r="AG19" s="4">
        <f>G2/USD_EUR!B10*1000000</f>
        <v>244576609075.375</v>
      </c>
      <c r="AH19" s="4"/>
      <c r="AI19" s="4"/>
      <c r="AJ19" s="4">
        <f>G14</f>
        <v>156500</v>
      </c>
      <c r="AK19" s="4"/>
      <c r="AL19" s="4"/>
      <c r="AM19" s="4">
        <f>G3/USD_EUR!B10*1000000</f>
        <v>86134421872.033417</v>
      </c>
      <c r="AN19" s="4">
        <f>G6/USD_EUR!B10*1000000</f>
        <v>13955762293.525728</v>
      </c>
      <c r="AQ19" s="61">
        <f>AM19/AG19</f>
        <v>0.35217767634307179</v>
      </c>
      <c r="AS19" s="4">
        <f>AM19/AJ19</f>
        <v>550379.69247305696</v>
      </c>
    </row>
    <row r="20" spans="1:47">
      <c r="A20" s="34" t="s">
        <v>23</v>
      </c>
      <c r="B20" s="3"/>
      <c r="C20" s="3"/>
      <c r="D20" s="4">
        <v>15517334000</v>
      </c>
      <c r="E20" s="4">
        <v>13710858000</v>
      </c>
      <c r="I20" t="s">
        <v>1055</v>
      </c>
      <c r="AE20" t="s">
        <v>995</v>
      </c>
      <c r="AF20" s="159">
        <f>Microsoft!M3</f>
        <v>0</v>
      </c>
      <c r="AG20" s="4" t="e">
        <f>AF20*AG27/AF27</f>
        <v>#DIV/0!</v>
      </c>
      <c r="AH20" s="57" t="e">
        <f>AF20*AH27/AF27</f>
        <v>#DIV/0!</v>
      </c>
      <c r="AI20" s="57" t="e">
        <f>AH20/AF20</f>
        <v>#DIV/0!</v>
      </c>
      <c r="AJ20" s="4" t="e">
        <f>AF20*AJ27/AF27</f>
        <v>#DIV/0!</v>
      </c>
      <c r="AK20" s="159" t="e">
        <f>AJ20/$AJ$19</f>
        <v>#DIV/0!</v>
      </c>
      <c r="AL20" s="159" t="e">
        <f>AK20/AF20</f>
        <v>#DIV/0!</v>
      </c>
      <c r="AM20" s="4" t="e">
        <f>AF20*AM27/AF27</f>
        <v>#DIV/0!</v>
      </c>
      <c r="AN20" s="4" t="e">
        <f>AF20*AN27/AF27</f>
        <v>#DIV/0!</v>
      </c>
      <c r="AO20" s="57" t="e">
        <f>AM20/AM19</f>
        <v>#DIV/0!</v>
      </c>
      <c r="AP20" s="57" t="e">
        <f t="shared" ref="AP20:AP25" si="0">AO20/AH20</f>
        <v>#DIV/0!</v>
      </c>
      <c r="AQ20" s="61" t="e">
        <f>AM20/AG20</f>
        <v>#DIV/0!</v>
      </c>
      <c r="AR20" s="57" t="e">
        <f t="shared" ref="AR20:AR26" si="1">AO20/AK20</f>
        <v>#DIV/0!</v>
      </c>
      <c r="AS20" s="4" t="e">
        <f>AM20/AJ20</f>
        <v>#DIV/0!</v>
      </c>
      <c r="AT20" s="57" t="e">
        <f>AVERAGE(AP20:AR20)</f>
        <v>#DIV/0!</v>
      </c>
      <c r="AU20" s="57" t="e">
        <f>AN20/AM20</f>
        <v>#DIV/0!</v>
      </c>
    </row>
    <row r="21" spans="1:47">
      <c r="A21" s="34" t="s">
        <v>13</v>
      </c>
      <c r="B21" s="3"/>
      <c r="C21" s="3"/>
      <c r="D21" s="20">
        <v>0</v>
      </c>
      <c r="E21" s="20">
        <v>0</v>
      </c>
      <c r="G21" s="12"/>
      <c r="H21" s="35"/>
      <c r="I21" t="s">
        <v>1056</v>
      </c>
      <c r="AE21" t="s">
        <v>94</v>
      </c>
      <c r="AF21" s="159">
        <f>Microsoft!M4</f>
        <v>0</v>
      </c>
      <c r="AG21" s="4">
        <f>G27</f>
        <v>1216738738</v>
      </c>
      <c r="AH21" s="183">
        <f>AG21/$AG$19</f>
        <v>4.9748777800129639E-3</v>
      </c>
      <c r="AI21" s="57" t="e">
        <f t="shared" ref="AI21:AI26" si="2">AH21/AF21</f>
        <v>#DIV/0!</v>
      </c>
      <c r="AJ21" s="4">
        <f>G31</f>
        <v>2720</v>
      </c>
      <c r="AK21" s="159">
        <f t="shared" ref="AK21:AK26" si="3">AJ21/$AJ$19</f>
        <v>1.7380191693290734E-2</v>
      </c>
      <c r="AL21" s="159" t="e">
        <f t="shared" ref="AL21:AL26" si="4">AK21/AF21</f>
        <v>#DIV/0!</v>
      </c>
      <c r="AM21" s="4">
        <f>G28</f>
        <v>194616052</v>
      </c>
      <c r="AN21" s="4">
        <f>G29</f>
        <v>68712354</v>
      </c>
      <c r="AO21" s="159">
        <f>AM21/$AM$19</f>
        <v>2.259445733427381E-3</v>
      </c>
      <c r="AP21" s="165">
        <f t="shared" si="0"/>
        <v>0.45417110396257676</v>
      </c>
      <c r="AQ21" s="61">
        <f t="shared" ref="AQ21:AQ25" si="5">AM21/AG21</f>
        <v>0.15994892405570801</v>
      </c>
      <c r="AR21" s="165">
        <f t="shared" si="1"/>
        <v>0.13000119752992101</v>
      </c>
      <c r="AS21" s="4">
        <f t="shared" ref="AS21:AS25" si="6">AM21/AJ21</f>
        <v>71550.019117647054</v>
      </c>
      <c r="AT21" s="57">
        <f t="shared" ref="AT21:AT25" si="7">AVERAGE(AP21:AR21)</f>
        <v>0.24804040851606859</v>
      </c>
      <c r="AU21" s="35">
        <f>G30</f>
        <v>0.35306622086856432</v>
      </c>
    </row>
    <row r="22" spans="1:47">
      <c r="A22" s="34" t="s">
        <v>14</v>
      </c>
      <c r="B22" s="34"/>
      <c r="C22" s="34"/>
      <c r="D22" s="20"/>
      <c r="E22" s="20"/>
      <c r="AE22" t="s">
        <v>358</v>
      </c>
      <c r="AF22" s="159">
        <f>Microsoft!M5</f>
        <v>0</v>
      </c>
      <c r="AG22" s="4">
        <f>G113</f>
        <v>592480368</v>
      </c>
      <c r="AH22" s="183">
        <f t="shared" ref="AH22:AH26" si="8">AG22/$AG$19</f>
        <v>2.4224735564037773E-3</v>
      </c>
      <c r="AI22" s="57" t="e">
        <f t="shared" si="2"/>
        <v>#DIV/0!</v>
      </c>
      <c r="AJ22" s="4">
        <f>G118</f>
        <v>1036</v>
      </c>
      <c r="AK22" s="159">
        <f t="shared" si="3"/>
        <v>6.6198083067092652E-3</v>
      </c>
      <c r="AL22" s="159" t="e">
        <f t="shared" si="4"/>
        <v>#DIV/0!</v>
      </c>
      <c r="AM22" s="4">
        <f>G114</f>
        <v>95885870</v>
      </c>
      <c r="AN22" s="4">
        <f>G115</f>
        <v>27100327</v>
      </c>
      <c r="AO22" s="159">
        <f t="shared" ref="AO22:AO26" si="9">AM22/$AM$19</f>
        <v>1.1132119763043622E-3</v>
      </c>
      <c r="AP22" s="165">
        <f t="shared" si="0"/>
        <v>0.45953524378484994</v>
      </c>
      <c r="AQ22" s="61">
        <f t="shared" si="5"/>
        <v>0.16183805435389548</v>
      </c>
      <c r="AR22" s="165">
        <f t="shared" si="1"/>
        <v>0.16816377827377674</v>
      </c>
      <c r="AS22" s="4">
        <f t="shared" si="6"/>
        <v>92553.928571428565</v>
      </c>
      <c r="AT22" s="57">
        <f t="shared" si="7"/>
        <v>0.26317902547084071</v>
      </c>
      <c r="AU22" s="35">
        <f>G116</f>
        <v>0.28263108005381815</v>
      </c>
    </row>
    <row r="23" spans="1:47">
      <c r="A23" s="34" t="s">
        <v>15</v>
      </c>
      <c r="B23" s="34"/>
      <c r="C23" s="34"/>
      <c r="D23" s="20"/>
      <c r="E23" s="20"/>
      <c r="AE23" t="s">
        <v>362</v>
      </c>
      <c r="AF23" s="159">
        <f>Microsoft!M7</f>
        <v>0</v>
      </c>
      <c r="AG23" s="4">
        <f>E113*1000</f>
        <v>45890412.800860561</v>
      </c>
      <c r="AH23" s="183">
        <f t="shared" si="8"/>
        <v>1.8763205923227839E-4</v>
      </c>
      <c r="AI23" s="57" t="e">
        <f t="shared" si="2"/>
        <v>#DIV/0!</v>
      </c>
      <c r="AJ23">
        <f>F118</f>
        <v>139</v>
      </c>
      <c r="AK23" s="159">
        <f t="shared" si="3"/>
        <v>8.8817891373801916E-4</v>
      </c>
      <c r="AL23" s="159" t="e">
        <f t="shared" si="4"/>
        <v>#DIV/0!</v>
      </c>
      <c r="AM23" s="4">
        <f>E114*1000</f>
        <v>8351620.2769934116</v>
      </c>
      <c r="AN23" s="4">
        <f>E115*1000</f>
        <v>1841602.7968266774</v>
      </c>
      <c r="AO23" s="159">
        <f t="shared" si="9"/>
        <v>9.6960310355377919E-5</v>
      </c>
      <c r="AP23" s="165">
        <f t="shared" si="0"/>
        <v>0.51675769456511844</v>
      </c>
      <c r="AQ23" s="61">
        <f t="shared" si="5"/>
        <v>0.18199052410434621</v>
      </c>
      <c r="AR23" s="165">
        <f t="shared" si="1"/>
        <v>0.10916754367350104</v>
      </c>
      <c r="AS23" s="4">
        <f t="shared" si="6"/>
        <v>60083.599115060519</v>
      </c>
      <c r="AT23" s="57">
        <f t="shared" si="7"/>
        <v>0.26930525411432188</v>
      </c>
      <c r="AU23" s="35">
        <f>F116</f>
        <v>0.22050844455893481</v>
      </c>
    </row>
    <row r="24" spans="1:47" ht="28.8">
      <c r="A24" s="7" t="s">
        <v>21</v>
      </c>
      <c r="B24" s="34"/>
      <c r="C24" s="34"/>
      <c r="D24" s="20"/>
      <c r="E24" s="20"/>
      <c r="AE24" t="s">
        <v>360</v>
      </c>
      <c r="AF24" s="159">
        <f>Microsoft!M8</f>
        <v>0</v>
      </c>
      <c r="AG24" s="4">
        <f>C113</f>
        <v>63066577</v>
      </c>
      <c r="AH24" s="183">
        <f t="shared" si="8"/>
        <v>2.5786021499939833E-4</v>
      </c>
      <c r="AI24" s="57" t="e">
        <f t="shared" si="2"/>
        <v>#DIV/0!</v>
      </c>
      <c r="AJ24" s="4">
        <f>C118</f>
        <v>105.4</v>
      </c>
      <c r="AK24" s="159">
        <f t="shared" si="3"/>
        <v>6.7348242811501597E-4</v>
      </c>
      <c r="AL24" s="159" t="e">
        <f t="shared" si="4"/>
        <v>#DIV/0!</v>
      </c>
      <c r="AM24" s="4">
        <f>C114</f>
        <v>8653215</v>
      </c>
      <c r="AN24" s="4">
        <f>C115</f>
        <v>2123220</v>
      </c>
      <c r="AO24" s="159">
        <f t="shared" si="9"/>
        <v>1.0046175282694469E-4</v>
      </c>
      <c r="AP24" s="165">
        <f t="shared" si="0"/>
        <v>0.38959772381784097</v>
      </c>
      <c r="AQ24" s="61">
        <f t="shared" si="5"/>
        <v>0.13720762108271709</v>
      </c>
      <c r="AR24" s="165">
        <f t="shared" si="1"/>
        <v>0.14916759314437233</v>
      </c>
      <c r="AS24" s="4">
        <f t="shared" si="6"/>
        <v>82098.814041745733</v>
      </c>
      <c r="AT24" s="57">
        <f t="shared" si="7"/>
        <v>0.22532431268164346</v>
      </c>
      <c r="AU24" s="35">
        <f>C116</f>
        <v>0.2453677621554532</v>
      </c>
    </row>
    <row r="25" spans="1:47">
      <c r="A25" t="s">
        <v>22</v>
      </c>
      <c r="D25" s="20">
        <v>0</v>
      </c>
      <c r="E25" s="20">
        <v>0</v>
      </c>
      <c r="AE25" t="s">
        <v>359</v>
      </c>
      <c r="AF25" s="159">
        <f>Microsoft!M9</f>
        <v>0</v>
      </c>
      <c r="AG25" s="4">
        <f>B113</f>
        <v>19088110</v>
      </c>
      <c r="AH25" s="183">
        <f t="shared" si="8"/>
        <v>7.8045525580564898E-5</v>
      </c>
      <c r="AI25" s="57" t="e">
        <f t="shared" si="2"/>
        <v>#DIV/0!</v>
      </c>
      <c r="AJ25">
        <f>B118</f>
        <v>49</v>
      </c>
      <c r="AK25" s="159">
        <f t="shared" si="3"/>
        <v>3.130990415335463E-4</v>
      </c>
      <c r="AL25" s="159" t="e">
        <f t="shared" si="4"/>
        <v>#DIV/0!</v>
      </c>
      <c r="AM25" s="4">
        <f>B114</f>
        <v>3575095</v>
      </c>
      <c r="AN25" s="4">
        <f>B115</f>
        <v>1433146</v>
      </c>
      <c r="AO25" s="159">
        <f t="shared" si="9"/>
        <v>4.1505996351973904E-5</v>
      </c>
      <c r="AP25" s="165">
        <f t="shared" si="0"/>
        <v>0.53181775692096611</v>
      </c>
      <c r="AQ25" s="61">
        <f t="shared" si="5"/>
        <v>0.18729434187041044</v>
      </c>
      <c r="AR25" s="165">
        <f t="shared" si="1"/>
        <v>0.13256506998130441</v>
      </c>
      <c r="AS25" s="4">
        <f t="shared" si="6"/>
        <v>72961.122448979586</v>
      </c>
      <c r="AT25" s="57">
        <f t="shared" si="7"/>
        <v>0.28389238959089363</v>
      </c>
      <c r="AU25" s="35">
        <f>B116</f>
        <v>0.40086934752782794</v>
      </c>
    </row>
    <row r="26" spans="1:47">
      <c r="A26" s="2" t="s">
        <v>18</v>
      </c>
      <c r="B26" s="2" t="s">
        <v>0</v>
      </c>
      <c r="C26" s="2" t="s">
        <v>1</v>
      </c>
      <c r="D26" s="2" t="s">
        <v>2</v>
      </c>
      <c r="E26" s="2" t="s">
        <v>3</v>
      </c>
      <c r="F26" s="2" t="s">
        <v>4</v>
      </c>
      <c r="G26" s="2">
        <v>2021</v>
      </c>
      <c r="H26" s="2">
        <v>2022</v>
      </c>
      <c r="I26" s="60"/>
      <c r="AE26" t="s">
        <v>361</v>
      </c>
      <c r="AF26" s="159">
        <f>Microsoft!M10</f>
        <v>0</v>
      </c>
      <c r="AG26" s="164">
        <f>AH52</f>
        <v>0</v>
      </c>
      <c r="AH26" s="183">
        <f t="shared" si="8"/>
        <v>0</v>
      </c>
      <c r="AI26" s="57" t="e">
        <f t="shared" si="2"/>
        <v>#DIV/0!</v>
      </c>
      <c r="AJ26" s="4">
        <f>J118</f>
        <v>729</v>
      </c>
      <c r="AK26" s="159">
        <f t="shared" si="3"/>
        <v>4.6581469648562298E-3</v>
      </c>
      <c r="AL26" s="159" t="e">
        <f t="shared" si="4"/>
        <v>#DIV/0!</v>
      </c>
      <c r="AM26" s="4">
        <f>AH53</f>
        <v>0</v>
      </c>
      <c r="AN26" s="4"/>
      <c r="AO26" s="159">
        <f t="shared" si="9"/>
        <v>0</v>
      </c>
      <c r="AP26" s="165" t="s">
        <v>994</v>
      </c>
      <c r="AQ26" s="165"/>
      <c r="AR26" s="165">
        <f t="shared" si="1"/>
        <v>0</v>
      </c>
      <c r="AS26" s="165"/>
    </row>
    <row r="27" spans="1:47">
      <c r="A27" s="34" t="s">
        <v>5</v>
      </c>
      <c r="D27" s="4">
        <v>544066622</v>
      </c>
      <c r="E27" s="4">
        <v>716392736.21000004</v>
      </c>
      <c r="F27" s="72">
        <v>893696156.85000002</v>
      </c>
      <c r="G27" s="72">
        <v>1216738738</v>
      </c>
      <c r="H27" s="71">
        <f>G27*$H$2/$G$2</f>
        <v>1335745710.8294539</v>
      </c>
      <c r="AF27" s="57">
        <f>SUM(AF21:AF25)</f>
        <v>0</v>
      </c>
      <c r="AG27" s="4">
        <f>SUM(AG21:AG25)</f>
        <v>1937264205.8008606</v>
      </c>
      <c r="AH27" s="57">
        <f>SUM(AH21:AH26)</f>
        <v>7.9208891362289834E-3</v>
      </c>
      <c r="AI27" s="35"/>
      <c r="AJ27" s="4">
        <f>SUM(AJ21:AJ25)</f>
        <v>4049.4</v>
      </c>
      <c r="AM27" s="4">
        <f>SUM(AM21:AM25)</f>
        <v>311081852.27699339</v>
      </c>
      <c r="AN27" s="4">
        <f>SUM(AN21:AN25)</f>
        <v>101210649.79682668</v>
      </c>
    </row>
    <row r="28" spans="1:47" ht="28.8">
      <c r="A28" s="7" t="s">
        <v>19</v>
      </c>
      <c r="D28" s="4">
        <v>116550478.42</v>
      </c>
      <c r="E28" s="4">
        <v>140161183</v>
      </c>
      <c r="F28" s="72">
        <f>69661522.38+59434227.3</f>
        <v>129095749.67999999</v>
      </c>
      <c r="G28" s="72">
        <f>125903698+G29</f>
        <v>194616052</v>
      </c>
      <c r="H28" s="71">
        <f t="shared" ref="H28:H29" si="10">G28*$H$2/$G$2</f>
        <v>213651089.25919801</v>
      </c>
    </row>
    <row r="29" spans="1:47">
      <c r="A29" s="8" t="s">
        <v>13</v>
      </c>
      <c r="D29" s="4">
        <v>40034740.259999998</v>
      </c>
      <c r="E29" s="4">
        <v>46551521.590000004</v>
      </c>
      <c r="F29" s="72">
        <v>59434227.299999997</v>
      </c>
      <c r="G29" s="72">
        <v>68712354</v>
      </c>
      <c r="H29" s="71">
        <f t="shared" si="10"/>
        <v>75432982.669197366</v>
      </c>
      <c r="AF29" s="2" t="s">
        <v>5</v>
      </c>
      <c r="AG29" s="2" t="s">
        <v>22</v>
      </c>
      <c r="AH29" s="2" t="s">
        <v>75</v>
      </c>
      <c r="AI29" s="2" t="s">
        <v>13</v>
      </c>
      <c r="AJ29" s="2" t="s">
        <v>996</v>
      </c>
    </row>
    <row r="30" spans="1:47" ht="28.8">
      <c r="A30" s="7" t="s">
        <v>21</v>
      </c>
      <c r="D30" s="13">
        <f>(D29)/D28</f>
        <v>0.34349700492632262</v>
      </c>
      <c r="E30" s="13">
        <f>(E29)/E28</f>
        <v>0.33212848660102995</v>
      </c>
      <c r="F30" s="73">
        <f>(F29)/F28</f>
        <v>0.46038872269090492</v>
      </c>
      <c r="G30" s="73">
        <f>(G29)/G28</f>
        <v>0.35306622086856432</v>
      </c>
      <c r="H30" s="73">
        <f>(H29)/H28</f>
        <v>0.35306622086856437</v>
      </c>
      <c r="AE30" t="s">
        <v>107</v>
      </c>
      <c r="AF30" s="4">
        <f>ROUND(AG19/1000000,0)</f>
        <v>244577</v>
      </c>
      <c r="AG30" s="4">
        <v>221000</v>
      </c>
      <c r="AH30" s="4">
        <f>AM19/1000000</f>
        <v>86134.421872033417</v>
      </c>
      <c r="AI30" s="4">
        <f>AN19/1000000</f>
        <v>13955.762293525728</v>
      </c>
    </row>
    <row r="31" spans="1:47">
      <c r="A31" s="34" t="s">
        <v>22</v>
      </c>
      <c r="D31" s="4">
        <v>1314</v>
      </c>
      <c r="E31" s="4">
        <v>1818</v>
      </c>
      <c r="F31" s="72">
        <v>2265</v>
      </c>
      <c r="G31" s="72">
        <v>2720</v>
      </c>
      <c r="H31" s="71">
        <f>G31*H14/G14</f>
        <v>3306.3033865814696</v>
      </c>
      <c r="AE31" t="s">
        <v>995</v>
      </c>
      <c r="AF31" s="4" t="e">
        <f t="shared" ref="AF31:AF36" si="11">ROUND(AG20/1000000,0)</f>
        <v>#DIV/0!</v>
      </c>
      <c r="AG31" s="4">
        <v>11890.455616104415</v>
      </c>
      <c r="AH31" s="4" t="e">
        <f t="shared" ref="AH31:AI36" si="12">AM20/1000000</f>
        <v>#DIV/0!</v>
      </c>
      <c r="AI31" s="4" t="e">
        <f t="shared" si="12"/>
        <v>#DIV/0!</v>
      </c>
      <c r="AJ31" s="4" t="e">
        <f t="shared" ref="AJ31:AJ36" si="13">AU20*(AM20/AT20)/1000000</f>
        <v>#DIV/0!</v>
      </c>
    </row>
    <row r="32" spans="1:47">
      <c r="A32" s="60" t="s">
        <v>117</v>
      </c>
      <c r="E32" s="4">
        <v>70527</v>
      </c>
      <c r="F32" s="72">
        <v>45923</v>
      </c>
      <c r="G32" s="72">
        <v>56231</v>
      </c>
      <c r="H32" s="71"/>
      <c r="AE32" t="s">
        <v>94</v>
      </c>
      <c r="AF32" s="4">
        <f t="shared" si="11"/>
        <v>1217</v>
      </c>
      <c r="AG32" s="4">
        <v>2720</v>
      </c>
      <c r="AH32" s="4">
        <f t="shared" si="12"/>
        <v>194.616052</v>
      </c>
      <c r="AI32" s="4">
        <f t="shared" si="12"/>
        <v>68.712354000000005</v>
      </c>
      <c r="AJ32" s="4">
        <f t="shared" si="13"/>
        <v>277.02080645278676</v>
      </c>
    </row>
    <row r="33" spans="2:36">
      <c r="AE33" t="s">
        <v>358</v>
      </c>
      <c r="AF33" s="4">
        <f t="shared" si="11"/>
        <v>592</v>
      </c>
      <c r="AG33" s="4">
        <v>1956</v>
      </c>
      <c r="AH33" s="4">
        <f t="shared" si="12"/>
        <v>95.885869999999997</v>
      </c>
      <c r="AI33" s="4">
        <f t="shared" si="12"/>
        <v>27.100327</v>
      </c>
      <c r="AJ33" s="4">
        <f t="shared" si="13"/>
        <v>102.97297420079784</v>
      </c>
    </row>
    <row r="34" spans="2:36">
      <c r="AE34" t="s">
        <v>362</v>
      </c>
      <c r="AF34" s="4">
        <f t="shared" si="11"/>
        <v>46</v>
      </c>
      <c r="AG34">
        <v>488</v>
      </c>
      <c r="AH34" s="4">
        <f t="shared" si="12"/>
        <v>8.3516202769934118</v>
      </c>
      <c r="AI34" s="4">
        <f t="shared" si="12"/>
        <v>1.8416027968266775</v>
      </c>
      <c r="AJ34" s="4">
        <f t="shared" si="13"/>
        <v>6.8383470752668831</v>
      </c>
    </row>
    <row r="35" spans="2:36">
      <c r="G35" s="32"/>
      <c r="H35" s="32"/>
      <c r="AE35" t="s">
        <v>360</v>
      </c>
      <c r="AF35" s="4">
        <f t="shared" si="11"/>
        <v>63</v>
      </c>
      <c r="AG35" s="4">
        <v>487.4</v>
      </c>
      <c r="AH35" s="4">
        <f t="shared" si="12"/>
        <v>8.6532149999999994</v>
      </c>
      <c r="AI35" s="4">
        <f t="shared" si="12"/>
        <v>2.1232199999999999</v>
      </c>
      <c r="AJ35" s="4">
        <f t="shared" si="13"/>
        <v>9.4229511885823793</v>
      </c>
    </row>
    <row r="36" spans="2:36">
      <c r="AE36" t="s">
        <v>359</v>
      </c>
      <c r="AF36" s="4">
        <f t="shared" si="11"/>
        <v>19</v>
      </c>
      <c r="AG36">
        <v>272</v>
      </c>
      <c r="AH36" s="4">
        <f t="shared" si="12"/>
        <v>3.5750950000000001</v>
      </c>
      <c r="AI36" s="4">
        <f t="shared" si="12"/>
        <v>1.433146</v>
      </c>
      <c r="AJ36" s="4">
        <f t="shared" si="13"/>
        <v>5.048201545892975</v>
      </c>
    </row>
    <row r="37" spans="2:36" ht="15" customHeight="1"/>
    <row r="38" spans="2:36" ht="15" customHeight="1"/>
    <row r="39" spans="2:36" ht="15" customHeight="1"/>
    <row r="42" spans="2:36" ht="15" customHeight="1"/>
    <row r="43" spans="2:36" ht="15" customHeight="1"/>
    <row r="44" spans="2:36" ht="15" customHeight="1"/>
    <row r="45" spans="2:36" ht="15" customHeight="1">
      <c r="B45" t="s">
        <v>335</v>
      </c>
    </row>
    <row r="46" spans="2:36" ht="15" customHeight="1">
      <c r="B46" t="s">
        <v>336</v>
      </c>
    </row>
    <row r="47" spans="2:36" ht="15" customHeight="1">
      <c r="B47" t="s">
        <v>337</v>
      </c>
    </row>
    <row r="48" spans="2:36" ht="15" customHeight="1">
      <c r="B48" t="s">
        <v>338</v>
      </c>
    </row>
    <row r="49" spans="2:8" ht="15" customHeight="1">
      <c r="B49" t="s">
        <v>339</v>
      </c>
    </row>
    <row r="50" spans="2:8" ht="15" customHeight="1">
      <c r="B50" t="s">
        <v>340</v>
      </c>
    </row>
    <row r="51" spans="2:8" ht="15" customHeight="1">
      <c r="B51" t="s">
        <v>341</v>
      </c>
    </row>
    <row r="52" spans="2:8" ht="15" customHeight="1">
      <c r="B52" t="s">
        <v>342</v>
      </c>
    </row>
    <row r="53" spans="2:8" ht="15" customHeight="1">
      <c r="B53" t="s">
        <v>343</v>
      </c>
    </row>
    <row r="54" spans="2:8" ht="15" customHeight="1">
      <c r="B54" t="s">
        <v>344</v>
      </c>
    </row>
    <row r="55" spans="2:8" ht="15" customHeight="1"/>
    <row r="56" spans="2:8" ht="15" customHeight="1"/>
    <row r="57" spans="2:8" ht="15" customHeight="1"/>
    <row r="58" spans="2:8" ht="15" customHeight="1"/>
    <row r="60" spans="2:8">
      <c r="G60" s="11"/>
      <c r="H60" s="11"/>
    </row>
    <row r="94" spans="1:11" ht="15" thickBot="1"/>
    <row r="95" spans="1:11" ht="29.4" thickBot="1">
      <c r="A95" s="197"/>
      <c r="B95" s="198" t="s">
        <v>5</v>
      </c>
      <c r="C95" s="199" t="s">
        <v>1058</v>
      </c>
      <c r="D95" s="198" t="s">
        <v>22</v>
      </c>
      <c r="E95" s="198" t="s">
        <v>75</v>
      </c>
      <c r="F95" s="199" t="s">
        <v>1059</v>
      </c>
      <c r="G95" s="198" t="s">
        <v>13</v>
      </c>
      <c r="H95" s="200"/>
      <c r="I95" s="201"/>
      <c r="J95" s="60" t="s">
        <v>993</v>
      </c>
    </row>
    <row r="96" spans="1:11" ht="15" thickBot="1">
      <c r="A96" s="202" t="s">
        <v>107</v>
      </c>
      <c r="B96" s="203">
        <f>G2</f>
        <v>257637</v>
      </c>
      <c r="C96" s="208">
        <f>E96/B96</f>
        <v>0.35217767634307184</v>
      </c>
      <c r="D96" s="203">
        <f>G14</f>
        <v>156500</v>
      </c>
      <c r="E96" s="203">
        <f>G3</f>
        <v>90734</v>
      </c>
      <c r="F96" s="204">
        <f>(E96*1000000)/D96</f>
        <v>579769.96805111819</v>
      </c>
      <c r="G96" s="203">
        <f>G6</f>
        <v>14701</v>
      </c>
      <c r="H96" s="205"/>
      <c r="I96" s="204"/>
      <c r="J96" s="181" t="e">
        <f>#REF!</f>
        <v>#REF!</v>
      </c>
      <c r="K96" s="57">
        <f>G96/E96</f>
        <v>0.16202305640663919</v>
      </c>
    </row>
    <row r="97" spans="1:16" ht="15" thickBot="1">
      <c r="A97" s="202" t="s">
        <v>398</v>
      </c>
      <c r="B97" s="203">
        <f>M113/1000</f>
        <v>64834.04</v>
      </c>
      <c r="C97" s="208">
        <f t="shared" ref="C97:C109" si="14">E97/B97</f>
        <v>4.3772330090797978E-2</v>
      </c>
      <c r="D97" s="203">
        <f>M118</f>
        <v>4214</v>
      </c>
      <c r="E97" s="203">
        <f>M114/1000</f>
        <v>2837.9369999999999</v>
      </c>
      <c r="F97" s="204">
        <f t="shared" ref="F97:F109" si="15">(E97*1000000)/D97</f>
        <v>673454.43758898904</v>
      </c>
      <c r="G97" s="203">
        <f>M115/1000</f>
        <v>395.86700000000002</v>
      </c>
      <c r="H97" s="205"/>
      <c r="I97" s="204"/>
      <c r="K97" s="57">
        <f t="shared" ref="K97:K110" si="16">G97/E97</f>
        <v>0.13949111625804239</v>
      </c>
    </row>
    <row r="98" spans="1:16" ht="15" thickBot="1">
      <c r="A98" s="202" t="s">
        <v>1060</v>
      </c>
      <c r="B98" s="203">
        <v>43244</v>
      </c>
      <c r="C98" s="208">
        <f t="shared" si="14"/>
        <v>6.3638886319489413E-2</v>
      </c>
      <c r="D98" s="203" t="s">
        <v>1061</v>
      </c>
      <c r="E98" s="203">
        <v>2752</v>
      </c>
      <c r="F98" s="204"/>
      <c r="G98" s="203">
        <v>146</v>
      </c>
      <c r="H98" s="205"/>
      <c r="I98" s="204"/>
      <c r="K98" s="57">
        <f t="shared" si="16"/>
        <v>5.3052325581395346E-2</v>
      </c>
    </row>
    <row r="99" spans="1:16" ht="15" thickBot="1">
      <c r="A99" s="202" t="s">
        <v>995</v>
      </c>
      <c r="B99" s="206" t="e">
        <f>B103*J99/J103</f>
        <v>#REF!</v>
      </c>
      <c r="C99" s="211" t="e">
        <f t="shared" si="14"/>
        <v>#REF!</v>
      </c>
      <c r="D99" s="206" t="e">
        <f>D103*J99/J103</f>
        <v>#REF!</v>
      </c>
      <c r="E99" s="206" t="e">
        <f>E103*J99/J103</f>
        <v>#REF!</v>
      </c>
      <c r="F99" s="207" t="e">
        <f t="shared" si="15"/>
        <v>#REF!</v>
      </c>
      <c r="G99" s="206" t="e">
        <f>G103*J99/J103</f>
        <v>#REF!</v>
      </c>
      <c r="H99" s="212" t="e">
        <f>D99*$F$96*0.3/1000000</f>
        <v>#REF!</v>
      </c>
      <c r="I99" s="207" t="e">
        <f>B99*C96*0.3</f>
        <v>#REF!</v>
      </c>
      <c r="J99" s="36" t="e">
        <f>#REF!</f>
        <v>#REF!</v>
      </c>
      <c r="K99" s="57" t="e">
        <f t="shared" si="16"/>
        <v>#REF!</v>
      </c>
    </row>
    <row r="100" spans="1:16" ht="15" thickBot="1">
      <c r="A100" s="202" t="s">
        <v>94</v>
      </c>
      <c r="B100" s="203">
        <f>G27/1000000</f>
        <v>1216.738738</v>
      </c>
      <c r="C100" s="208">
        <f t="shared" si="14"/>
        <v>0.15994892405570801</v>
      </c>
      <c r="D100" s="203">
        <f>G31</f>
        <v>2720</v>
      </c>
      <c r="E100" s="203">
        <f>G28/1000000</f>
        <v>194.616052</v>
      </c>
      <c r="F100" s="204">
        <f t="shared" si="15"/>
        <v>71550.019117647054</v>
      </c>
      <c r="G100" s="203">
        <f>G29/1000000</f>
        <v>68.712354000000005</v>
      </c>
      <c r="H100" s="212">
        <f t="shared" ref="H100:H109" si="17">D100*$F$96*0.3/1000000</f>
        <v>473.09229392971241</v>
      </c>
      <c r="I100" s="207">
        <f t="shared" ref="I100:I109" si="18">B100*C97*0.3</f>
        <v>15.977846902199087</v>
      </c>
      <c r="J100" s="210" t="e">
        <f>#REF!</f>
        <v>#REF!</v>
      </c>
      <c r="K100" s="57">
        <f t="shared" si="16"/>
        <v>0.35306622086856437</v>
      </c>
    </row>
    <row r="101" spans="1:16" ht="15" thickBot="1">
      <c r="A101" s="202" t="s">
        <v>358</v>
      </c>
      <c r="B101" s="203">
        <f>G113/1000000</f>
        <v>592.480368</v>
      </c>
      <c r="C101" s="208">
        <f t="shared" si="14"/>
        <v>0.16203068520913422</v>
      </c>
      <c r="D101" s="203">
        <f>G118</f>
        <v>1036</v>
      </c>
      <c r="E101" s="203">
        <f>ROUND(G114/1000000,0)</f>
        <v>96</v>
      </c>
      <c r="F101" s="204">
        <f t="shared" si="15"/>
        <v>92664.092664092663</v>
      </c>
      <c r="G101" s="203">
        <f>ROUND(G115/1000000,0)</f>
        <v>27</v>
      </c>
      <c r="H101" s="212">
        <f t="shared" si="17"/>
        <v>180.19250607028752</v>
      </c>
      <c r="I101" s="207">
        <f t="shared" si="18"/>
        <v>11.311437235704377</v>
      </c>
      <c r="J101" s="210" t="e">
        <f>#REF!</f>
        <v>#REF!</v>
      </c>
      <c r="K101" s="57">
        <f t="shared" si="16"/>
        <v>0.28125</v>
      </c>
    </row>
    <row r="102" spans="1:16" ht="15" thickBot="1">
      <c r="A102" s="202" t="s">
        <v>402</v>
      </c>
      <c r="B102" s="203">
        <f>L113/1000000</f>
        <v>710.45211300000005</v>
      </c>
      <c r="C102" s="208">
        <f t="shared" si="14"/>
        <v>4.0126034504453637E-2</v>
      </c>
      <c r="D102" s="203">
        <f>L118</f>
        <v>286</v>
      </c>
      <c r="E102" s="203">
        <f>L114/1000000</f>
        <v>28.507625999999998</v>
      </c>
      <c r="F102" s="204">
        <f t="shared" si="15"/>
        <v>99677.01398601399</v>
      </c>
      <c r="G102" s="203">
        <f>L115/1000000</f>
        <v>8.1915139999999997</v>
      </c>
      <c r="H102" s="212">
        <f t="shared" si="17"/>
        <v>49.744263258785942</v>
      </c>
      <c r="I102" s="207" t="e">
        <f t="shared" si="18"/>
        <v>#REF!</v>
      </c>
      <c r="J102" s="210" t="e">
        <f>#REF!</f>
        <v>#REF!</v>
      </c>
      <c r="K102" s="57">
        <f t="shared" si="16"/>
        <v>0.28734465647893653</v>
      </c>
    </row>
    <row r="103" spans="1:16" ht="15" thickBot="1">
      <c r="A103" s="202" t="s">
        <v>1063</v>
      </c>
      <c r="B103" s="203">
        <f>SUM(B100:B102)</f>
        <v>2519.6712189999998</v>
      </c>
      <c r="C103" s="203">
        <f t="shared" ref="C103:E103" si="19">SUM(C100:C102)</f>
        <v>0.36210564376929588</v>
      </c>
      <c r="D103" s="203">
        <f t="shared" si="19"/>
        <v>4042</v>
      </c>
      <c r="E103" s="203">
        <f t="shared" si="19"/>
        <v>319.12367799999998</v>
      </c>
      <c r="F103" s="204">
        <f t="shared" si="15"/>
        <v>78951.924294903511</v>
      </c>
      <c r="G103" s="203">
        <f>SUM(G100:G102)</f>
        <v>103.903868</v>
      </c>
      <c r="H103" s="212">
        <f t="shared" si="17"/>
        <v>703.02906325878598</v>
      </c>
      <c r="I103" s="207">
        <f t="shared" si="18"/>
        <v>120.90561013595524</v>
      </c>
      <c r="J103" s="208" t="e">
        <f t="shared" ref="J103" si="20">SUM(J100:J102)</f>
        <v>#REF!</v>
      </c>
      <c r="K103" s="57">
        <f t="shared" si="16"/>
        <v>0.32559122109391081</v>
      </c>
      <c r="P103">
        <f>0.7*26.375</f>
        <v>18.462499999999999</v>
      </c>
    </row>
    <row r="104" spans="1:16" ht="15" thickBot="1">
      <c r="A104" s="202" t="s">
        <v>362</v>
      </c>
      <c r="B104" s="203">
        <f>ROUND(E113/1000,0)</f>
        <v>46</v>
      </c>
      <c r="C104" s="208">
        <f t="shared" si="14"/>
        <v>0.17391304347826086</v>
      </c>
      <c r="D104" s="203">
        <f>F118</f>
        <v>139</v>
      </c>
      <c r="E104" s="203">
        <f>ROUND(E114/1000,0)</f>
        <v>8</v>
      </c>
      <c r="F104" s="204">
        <f t="shared" si="15"/>
        <v>57553.956834532371</v>
      </c>
      <c r="G104" s="203">
        <f>ROUND(E115/1000,0)</f>
        <v>2</v>
      </c>
      <c r="H104" s="212">
        <f t="shared" si="17"/>
        <v>24.176407667731628</v>
      </c>
      <c r="I104" s="207">
        <f t="shared" si="18"/>
        <v>2.2360234558860519</v>
      </c>
      <c r="K104" s="57">
        <f t="shared" si="16"/>
        <v>0.25</v>
      </c>
      <c r="P104">
        <f>4/20</f>
        <v>0.2</v>
      </c>
    </row>
    <row r="105" spans="1:16" ht="15" thickBot="1">
      <c r="A105" s="202" t="s">
        <v>360</v>
      </c>
      <c r="B105" s="203">
        <f>C113/1000000</f>
        <v>63.066577000000002</v>
      </c>
      <c r="C105" s="208">
        <f t="shared" si="14"/>
        <v>0.13720762108271706</v>
      </c>
      <c r="D105" s="203">
        <f>C118</f>
        <v>105.4</v>
      </c>
      <c r="E105" s="203">
        <f>C114/1000000</f>
        <v>8.6532149999999994</v>
      </c>
      <c r="F105" s="204">
        <f t="shared" si="15"/>
        <v>82098.814041745733</v>
      </c>
      <c r="G105" s="203">
        <f>C115/1000000</f>
        <v>2.1232199999999999</v>
      </c>
      <c r="H105" s="212">
        <f t="shared" si="17"/>
        <v>18.332326389776355</v>
      </c>
      <c r="I105" s="207">
        <f t="shared" si="18"/>
        <v>0.75918349343393465</v>
      </c>
      <c r="K105" s="57">
        <f t="shared" si="16"/>
        <v>0.2453677621554532</v>
      </c>
      <c r="P105">
        <f>0.79*0.93</f>
        <v>0.73470000000000002</v>
      </c>
    </row>
    <row r="106" spans="1:16" ht="15" thickBot="1">
      <c r="A106" s="202" t="s">
        <v>359</v>
      </c>
      <c r="B106" s="203">
        <f>B113/1000000</f>
        <v>19.08811</v>
      </c>
      <c r="C106" s="208">
        <f t="shared" si="14"/>
        <v>0.18729434187041044</v>
      </c>
      <c r="D106" s="203">
        <f>B118</f>
        <v>49</v>
      </c>
      <c r="E106" s="203">
        <f>B114/1000000</f>
        <v>3.5750950000000001</v>
      </c>
      <c r="F106" s="204">
        <f t="shared" si="15"/>
        <v>72961.122448979586</v>
      </c>
      <c r="G106" s="203">
        <f>B115/1000000</f>
        <v>1.433146</v>
      </c>
      <c r="H106" s="212">
        <f t="shared" si="17"/>
        <v>8.522618530351437</v>
      </c>
      <c r="I106" s="207">
        <f t="shared" si="18"/>
        <v>2.0735737079667405</v>
      </c>
      <c r="K106" s="57">
        <f t="shared" si="16"/>
        <v>0.40086934752782794</v>
      </c>
      <c r="P106">
        <f>0.41*0.8</f>
        <v>0.32800000000000001</v>
      </c>
    </row>
    <row r="107" spans="1:16" ht="15" thickBot="1">
      <c r="A107" s="209" t="s">
        <v>1062</v>
      </c>
      <c r="B107" s="203">
        <f>K113/1000000</f>
        <v>3391.5509999999999</v>
      </c>
      <c r="C107" s="208">
        <f t="shared" si="14"/>
        <v>0.32360946363477949</v>
      </c>
      <c r="D107" s="203">
        <f>K118</f>
        <v>5701</v>
      </c>
      <c r="E107" s="203">
        <f>K114/1000000</f>
        <v>1097.538</v>
      </c>
      <c r="F107" s="204">
        <f t="shared" si="15"/>
        <v>192516.75144711454</v>
      </c>
      <c r="G107" s="203">
        <f>K115/1000000</f>
        <v>201.46</v>
      </c>
      <c r="H107" s="212">
        <f t="shared" si="17"/>
        <v>991.58057635782734</v>
      </c>
      <c r="I107" s="207">
        <f t="shared" si="18"/>
        <v>176.9504869565217</v>
      </c>
      <c r="K107" s="57">
        <f t="shared" si="16"/>
        <v>0.18355628688938333</v>
      </c>
    </row>
    <row r="108" spans="1:16" ht="15" thickBot="1">
      <c r="A108" s="209" t="s">
        <v>408</v>
      </c>
      <c r="B108" s="203">
        <f>H113/1000000</f>
        <v>179.24086199999999</v>
      </c>
      <c r="C108" s="208">
        <f t="shared" si="14"/>
        <v>0.37223252139905466</v>
      </c>
      <c r="D108" s="203">
        <v>397</v>
      </c>
      <c r="E108" s="203">
        <f>H114/1000000</f>
        <v>66.719278000000003</v>
      </c>
      <c r="F108" s="204">
        <f t="shared" si="15"/>
        <v>168058.63476070529</v>
      </c>
      <c r="G108" s="203">
        <f>H115/1000000</f>
        <v>22.593025999999998</v>
      </c>
      <c r="H108" s="212">
        <f t="shared" si="17"/>
        <v>69.050603194888168</v>
      </c>
      <c r="I108" s="207">
        <f t="shared" si="18"/>
        <v>7.3779636827506723</v>
      </c>
      <c r="K108" s="57">
        <f t="shared" si="16"/>
        <v>0.33862815481906139</v>
      </c>
    </row>
    <row r="109" spans="1:16" ht="15" thickBot="1">
      <c r="A109" s="209" t="s">
        <v>361</v>
      </c>
      <c r="B109" s="203"/>
      <c r="C109" s="208" t="e">
        <f t="shared" si="14"/>
        <v>#DIV/0!</v>
      </c>
      <c r="D109" s="203">
        <v>729</v>
      </c>
      <c r="E109" s="203"/>
      <c r="F109" s="204">
        <f t="shared" si="15"/>
        <v>0</v>
      </c>
      <c r="G109" s="203"/>
      <c r="H109" s="212">
        <f t="shared" si="17"/>
        <v>126.79569201277955</v>
      </c>
      <c r="I109" s="207">
        <f t="shared" si="18"/>
        <v>0</v>
      </c>
      <c r="K109" s="57" t="e">
        <f t="shared" si="16"/>
        <v>#DIV/0!</v>
      </c>
    </row>
    <row r="110" spans="1:16">
      <c r="B110">
        <f>B103/B96</f>
        <v>9.7799276462619874E-3</v>
      </c>
      <c r="K110" s="57" t="e">
        <f t="shared" si="16"/>
        <v>#DIV/0!</v>
      </c>
    </row>
    <row r="111" spans="1:16">
      <c r="A111" t="s">
        <v>332</v>
      </c>
      <c r="B111" t="s">
        <v>334</v>
      </c>
      <c r="F111">
        <v>7.4370000000000003</v>
      </c>
      <c r="I111">
        <v>45994</v>
      </c>
    </row>
    <row r="112" spans="1:16">
      <c r="B112" t="s">
        <v>333</v>
      </c>
      <c r="C112" t="s">
        <v>345</v>
      </c>
      <c r="D112" t="s">
        <v>346</v>
      </c>
      <c r="E112" s="60" t="s">
        <v>998</v>
      </c>
      <c r="F112" t="s">
        <v>347</v>
      </c>
      <c r="G112" t="s">
        <v>348</v>
      </c>
      <c r="H112" t="s">
        <v>349</v>
      </c>
      <c r="I112" t="s">
        <v>350</v>
      </c>
      <c r="J112" t="s">
        <v>351</v>
      </c>
      <c r="K112" t="s">
        <v>352</v>
      </c>
      <c r="L112" s="60" t="s">
        <v>1047</v>
      </c>
      <c r="M112" t="s">
        <v>1057</v>
      </c>
    </row>
    <row r="113" spans="1:14">
      <c r="A113" s="58" t="s">
        <v>5</v>
      </c>
      <c r="B113">
        <v>19088110</v>
      </c>
      <c r="C113" s="4">
        <v>63066577</v>
      </c>
      <c r="E113">
        <f>F113/$F$111</f>
        <v>45890.412800860562</v>
      </c>
      <c r="F113" s="71">
        <v>341287</v>
      </c>
      <c r="G113">
        <v>592480368</v>
      </c>
      <c r="H113">
        <v>179240862</v>
      </c>
      <c r="I113">
        <v>269680991</v>
      </c>
      <c r="J113" s="71">
        <v>681661398.09000003</v>
      </c>
      <c r="K113" s="71">
        <v>3391551000</v>
      </c>
      <c r="L113" s="75">
        <v>710452113</v>
      </c>
      <c r="M113">
        <v>64834040</v>
      </c>
      <c r="N113">
        <f>M113/(G2*1000)</f>
        <v>0.25164879268117546</v>
      </c>
    </row>
    <row r="114" spans="1:14">
      <c r="A114" s="58" t="s">
        <v>19</v>
      </c>
      <c r="B114">
        <v>3575095</v>
      </c>
      <c r="C114" s="4">
        <v>8653215</v>
      </c>
      <c r="E114">
        <f>F114/$F$111</f>
        <v>8351.6202769934116</v>
      </c>
      <c r="F114" s="71">
        <v>62111</v>
      </c>
      <c r="G114">
        <v>95885870</v>
      </c>
      <c r="H114">
        <v>66719278</v>
      </c>
      <c r="I114">
        <v>-11062436</v>
      </c>
      <c r="J114" s="71">
        <v>66578452.409999996</v>
      </c>
      <c r="K114" s="71">
        <v>1097538000</v>
      </c>
      <c r="L114" s="4">
        <v>28507626</v>
      </c>
      <c r="M114">
        <v>2837937</v>
      </c>
      <c r="N114">
        <f>M114/(G3*1000)</f>
        <v>3.1277547556594003E-2</v>
      </c>
    </row>
    <row r="115" spans="1:14">
      <c r="A115" s="68" t="s">
        <v>13</v>
      </c>
      <c r="B115">
        <v>1433146</v>
      </c>
      <c r="C115" s="4">
        <v>2123220</v>
      </c>
      <c r="E115">
        <f>F115/$F$111</f>
        <v>1841.6027968266774</v>
      </c>
      <c r="F115" s="71">
        <v>13696</v>
      </c>
      <c r="G115">
        <v>27100327</v>
      </c>
      <c r="H115">
        <v>22593026</v>
      </c>
      <c r="I115">
        <v>4498335</v>
      </c>
      <c r="J115" s="71">
        <v>27991509</v>
      </c>
      <c r="K115" s="71">
        <v>201460000</v>
      </c>
      <c r="L115" s="4">
        <v>8191514</v>
      </c>
      <c r="M115">
        <v>395867</v>
      </c>
    </row>
    <row r="116" spans="1:14">
      <c r="A116" s="58" t="s">
        <v>21</v>
      </c>
      <c r="B116" s="57">
        <f>B115/B114</f>
        <v>0.40086934752782794</v>
      </c>
      <c r="C116" s="57">
        <f t="shared" ref="C116:D116" si="21">C115/C114</f>
        <v>0.2453677621554532</v>
      </c>
      <c r="D116" s="57" t="e">
        <f t="shared" si="21"/>
        <v>#DIV/0!</v>
      </c>
      <c r="F116" s="57">
        <f t="shared" ref="F116:K116" si="22">F115/F114</f>
        <v>0.22050844455893481</v>
      </c>
      <c r="G116" s="57">
        <f t="shared" si="22"/>
        <v>0.28263108005381815</v>
      </c>
      <c r="H116" s="57">
        <f t="shared" si="22"/>
        <v>0.33862815481906144</v>
      </c>
      <c r="I116" s="57">
        <f t="shared" si="22"/>
        <v>-0.40663150503198392</v>
      </c>
      <c r="J116" s="57">
        <f t="shared" si="22"/>
        <v>0.42042895241277362</v>
      </c>
      <c r="K116" s="57">
        <f t="shared" si="22"/>
        <v>0.18355628688938333</v>
      </c>
      <c r="L116" s="35">
        <f>L115/L114</f>
        <v>0.28734465647893653</v>
      </c>
      <c r="M116" s="35">
        <f>M115/M114</f>
        <v>0.13949111625804236</v>
      </c>
    </row>
    <row r="117" spans="1:14">
      <c r="A117" s="58" t="s">
        <v>353</v>
      </c>
      <c r="B117" s="57">
        <f>B114/B113</f>
        <v>0.18729434187041044</v>
      </c>
      <c r="C117" s="57">
        <f t="shared" ref="C117:D117" si="23">C114/C113</f>
        <v>0.13720762108271709</v>
      </c>
      <c r="D117" s="57" t="e">
        <f t="shared" si="23"/>
        <v>#DIV/0!</v>
      </c>
      <c r="F117" s="57">
        <f t="shared" ref="F117:K117" si="24">F114/F113</f>
        <v>0.18199052410434619</v>
      </c>
      <c r="G117" s="57">
        <f t="shared" si="24"/>
        <v>0.16183805435389548</v>
      </c>
      <c r="H117" s="57">
        <f t="shared" si="24"/>
        <v>0.37223252139905466</v>
      </c>
      <c r="I117" s="57">
        <f t="shared" si="24"/>
        <v>-4.1020451456291185E-2</v>
      </c>
      <c r="J117" s="57">
        <f t="shared" si="24"/>
        <v>9.7670856229429046E-2</v>
      </c>
      <c r="K117" s="57">
        <f t="shared" si="24"/>
        <v>0.32360946363477949</v>
      </c>
    </row>
    <row r="118" spans="1:14">
      <c r="A118" s="67" t="s">
        <v>22</v>
      </c>
      <c r="B118">
        <v>49</v>
      </c>
      <c r="C118" s="4">
        <v>105.4</v>
      </c>
      <c r="F118">
        <v>139</v>
      </c>
      <c r="G118">
        <v>1036</v>
      </c>
      <c r="H118">
        <v>397</v>
      </c>
      <c r="I118">
        <v>77</v>
      </c>
      <c r="J118">
        <v>729</v>
      </c>
      <c r="K118">
        <v>5701</v>
      </c>
      <c r="L118">
        <v>286</v>
      </c>
      <c r="M118">
        <v>4214</v>
      </c>
    </row>
    <row r="133" spans="1:6">
      <c r="B133">
        <v>2017</v>
      </c>
      <c r="C133">
        <v>2022</v>
      </c>
    </row>
    <row r="134" spans="1:6">
      <c r="A134" t="s">
        <v>1170</v>
      </c>
      <c r="B134" s="218">
        <v>0.35</v>
      </c>
      <c r="C134" s="218">
        <v>0.21</v>
      </c>
    </row>
    <row r="135" spans="1:6">
      <c r="A135" t="s">
        <v>1175</v>
      </c>
      <c r="B135" s="219"/>
      <c r="C135" s="218">
        <v>8.0000000000000002E-3</v>
      </c>
    </row>
    <row r="136" spans="1:6">
      <c r="A136" t="s">
        <v>1171</v>
      </c>
      <c r="B136" s="218">
        <v>-0.14199999999999999</v>
      </c>
      <c r="C136" s="218">
        <v>0.03</v>
      </c>
    </row>
    <row r="137" spans="1:6">
      <c r="A137" t="s">
        <v>1172</v>
      </c>
      <c r="B137" s="219"/>
      <c r="C137" s="218">
        <v>-5.3999999999999999E-2</v>
      </c>
    </row>
    <row r="138" spans="1:6">
      <c r="A138" t="s">
        <v>1173</v>
      </c>
      <c r="B138" s="218">
        <v>-4.4999999999999998E-2</v>
      </c>
      <c r="C138" s="218">
        <v>-1.2E-2</v>
      </c>
    </row>
    <row r="139" spans="1:6">
      <c r="A139" t="s">
        <v>1174</v>
      </c>
      <c r="B139" s="218">
        <v>-1.7999999999999999E-2</v>
      </c>
      <c r="C139" s="218">
        <v>-2.1999999999999999E-2</v>
      </c>
    </row>
    <row r="140" spans="1:6">
      <c r="A140" t="s">
        <v>1176</v>
      </c>
      <c r="B140" s="219">
        <f>SUM(B134:B139)-B141</f>
        <v>8.0000000000000349E-3</v>
      </c>
      <c r="C140" s="219">
        <f>SUM(C134:C139)-C141</f>
        <v>1.0000000000000009E-3</v>
      </c>
    </row>
    <row r="141" spans="1:6">
      <c r="A141" t="s">
        <v>74</v>
      </c>
      <c r="B141" s="220">
        <f>(53.4-37.6+1.4-3.5)/100</f>
        <v>0.13699999999999996</v>
      </c>
      <c r="C141" s="218">
        <v>0.159</v>
      </c>
      <c r="E141">
        <f>AVERAGE(16.8,19.3,13.7)</f>
        <v>16.599999999999998</v>
      </c>
      <c r="F141">
        <f>6878*100/35</f>
        <v>19651.428571428572</v>
      </c>
    </row>
    <row r="142" spans="1:6">
      <c r="F142">
        <f>3303/F141</f>
        <v>0.16807938354172725</v>
      </c>
    </row>
    <row r="143" spans="1:6">
      <c r="F143">
        <f>2624/F141</f>
        <v>0.13352718813608608</v>
      </c>
    </row>
    <row r="144" spans="1:6">
      <c r="F144">
        <f>407/F141</f>
        <v>2.0710962489095666E-2</v>
      </c>
    </row>
    <row r="148" spans="1:6">
      <c r="F148">
        <v>27193</v>
      </c>
    </row>
    <row r="149" spans="1:6">
      <c r="F149">
        <f>0.35*F148</f>
        <v>9517.5499999999993</v>
      </c>
    </row>
    <row r="150" spans="1:6">
      <c r="F150">
        <f>0.376*F148</f>
        <v>10224.567999999999</v>
      </c>
    </row>
    <row r="160" spans="1:6">
      <c r="A160">
        <v>626.67999999999995</v>
      </c>
    </row>
    <row r="161" spans="1:1">
      <c r="A161">
        <v>15.35</v>
      </c>
    </row>
    <row r="162" spans="1:1">
      <c r="A162">
        <v>9.9700000000000006</v>
      </c>
    </row>
    <row r="163" spans="1:1">
      <c r="A163">
        <v>7</v>
      </c>
    </row>
    <row r="164" spans="1:1">
      <c r="A164">
        <f>SUM(A161:A163)/A160</f>
        <v>5.1573370779345123E-2</v>
      </c>
    </row>
  </sheetData>
  <printOptions gridLines="1"/>
  <pageMargins left="0.7" right="0.7" top="0.75" bottom="0.75" header="0.51180555555555496" footer="0.51180555555555496"/>
  <pageSetup paperSize="9" firstPageNumber="0"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94"/>
  <sheetViews>
    <sheetView topLeftCell="D1" zoomScale="69" zoomScaleNormal="100" workbookViewId="0">
      <selection activeCell="H49" sqref="H49:L59"/>
    </sheetView>
  </sheetViews>
  <sheetFormatPr baseColWidth="10" defaultColWidth="8.6640625" defaultRowHeight="14.4"/>
  <cols>
    <col min="1" max="1" width="34" style="67" customWidth="1"/>
    <col min="2" max="6" width="19.77734375" customWidth="1"/>
    <col min="7" max="7" width="18.33203125" customWidth="1"/>
    <col min="8" max="8" width="19.21875" customWidth="1"/>
    <col min="9" max="9" width="15" customWidth="1"/>
    <col min="10" max="10" width="23" customWidth="1"/>
    <col min="11" max="11" width="14.33203125" customWidth="1"/>
    <col min="12" max="12" width="16.21875" customWidth="1"/>
    <col min="13" max="13" width="21.44140625" customWidth="1"/>
    <col min="14" max="14" width="18.5546875" customWidth="1"/>
    <col min="15" max="15" width="13.88671875" customWidth="1"/>
    <col min="16" max="16" width="17.21875" customWidth="1"/>
    <col min="17" max="17" width="18.33203125" customWidth="1"/>
    <col min="18" max="19" width="15.33203125" customWidth="1"/>
    <col min="20" max="20" width="13.88671875" customWidth="1"/>
    <col min="21" max="21" width="19" bestFit="1" customWidth="1"/>
    <col min="22" max="23" width="18" bestFit="1" customWidth="1"/>
    <col min="24" max="24" width="18" customWidth="1"/>
    <col min="26" max="26" width="10.88671875" bestFit="1" customWidth="1"/>
  </cols>
  <sheetData>
    <row r="1" spans="1:9" ht="15" customHeight="1">
      <c r="A1" s="2" t="s">
        <v>24</v>
      </c>
      <c r="B1" s="2" t="s">
        <v>67</v>
      </c>
      <c r="C1" s="2" t="s">
        <v>68</v>
      </c>
      <c r="D1" s="2" t="s">
        <v>69</v>
      </c>
      <c r="E1" s="2" t="s">
        <v>70</v>
      </c>
      <c r="F1" s="2" t="s">
        <v>71</v>
      </c>
      <c r="G1" s="2" t="s">
        <v>152</v>
      </c>
      <c r="H1" s="2" t="s">
        <v>330</v>
      </c>
      <c r="I1" s="2" t="s">
        <v>111</v>
      </c>
    </row>
    <row r="2" spans="1:9" ht="15" customHeight="1">
      <c r="A2" s="58" t="s">
        <v>5</v>
      </c>
      <c r="B2" s="72">
        <v>96571</v>
      </c>
      <c r="C2" s="72">
        <v>110360</v>
      </c>
      <c r="D2" s="72">
        <v>125843</v>
      </c>
      <c r="E2" s="72">
        <v>143015</v>
      </c>
      <c r="F2" s="4">
        <v>168088</v>
      </c>
      <c r="G2" s="72">
        <v>198270</v>
      </c>
      <c r="H2" s="72">
        <v>211915</v>
      </c>
      <c r="I2" s="4">
        <v>1</v>
      </c>
    </row>
    <row r="3" spans="1:9" ht="25.2" customHeight="1">
      <c r="A3" s="68" t="s">
        <v>10</v>
      </c>
      <c r="B3" s="4">
        <v>29901</v>
      </c>
      <c r="C3" s="4">
        <v>36474</v>
      </c>
      <c r="D3" s="4">
        <v>43688</v>
      </c>
      <c r="E3" s="4">
        <v>53036</v>
      </c>
      <c r="F3" s="4">
        <v>71102</v>
      </c>
      <c r="G3" s="4">
        <v>83716</v>
      </c>
      <c r="H3" s="4">
        <v>89311</v>
      </c>
      <c r="I3" s="4">
        <v>1</v>
      </c>
    </row>
    <row r="4" spans="1:9" ht="15" customHeight="1">
      <c r="A4" s="68" t="s">
        <v>11</v>
      </c>
      <c r="B4" s="21">
        <v>6843</v>
      </c>
      <c r="C4" s="21">
        <v>11527</v>
      </c>
      <c r="D4" s="21">
        <v>15799</v>
      </c>
      <c r="E4" s="21">
        <v>24116</v>
      </c>
      <c r="F4" s="21">
        <v>34972</v>
      </c>
      <c r="G4" s="21">
        <v>47837</v>
      </c>
      <c r="H4" s="21">
        <v>52917</v>
      </c>
      <c r="I4" s="60" t="s">
        <v>153</v>
      </c>
    </row>
    <row r="5" spans="1:9" ht="15" customHeight="1">
      <c r="A5" s="68" t="s">
        <v>12</v>
      </c>
      <c r="B5" s="21">
        <v>23058</v>
      </c>
      <c r="C5" s="21">
        <v>24947</v>
      </c>
      <c r="D5" s="21">
        <v>27889</v>
      </c>
      <c r="E5" s="21">
        <v>28920</v>
      </c>
      <c r="F5" s="21">
        <v>36130</v>
      </c>
      <c r="G5" s="21">
        <v>35879</v>
      </c>
      <c r="H5" s="21">
        <v>36394</v>
      </c>
      <c r="I5" s="60" t="s">
        <v>153</v>
      </c>
    </row>
    <row r="6" spans="1:9" ht="15" customHeight="1">
      <c r="A6" s="68" t="s">
        <v>13</v>
      </c>
      <c r="B6" s="21">
        <v>4412</v>
      </c>
      <c r="C6" s="21">
        <v>19903</v>
      </c>
      <c r="D6" s="21">
        <v>4448</v>
      </c>
      <c r="E6" s="21">
        <v>8755</v>
      </c>
      <c r="F6" s="21">
        <v>9831</v>
      </c>
      <c r="G6" s="21">
        <v>10978</v>
      </c>
      <c r="H6" s="21">
        <v>16950</v>
      </c>
      <c r="I6" s="21">
        <v>1</v>
      </c>
    </row>
    <row r="7" spans="1:9" ht="15" customHeight="1">
      <c r="A7" s="68" t="s">
        <v>11</v>
      </c>
      <c r="B7" s="21">
        <v>2484</v>
      </c>
      <c r="C7" s="21">
        <v>15948</v>
      </c>
      <c r="D7" s="21">
        <v>-1277</v>
      </c>
      <c r="E7" s="21">
        <v>4352</v>
      </c>
      <c r="F7" s="21">
        <v>-4335</v>
      </c>
      <c r="G7">
        <f>G8+G9</f>
        <v>4131</v>
      </c>
      <c r="H7">
        <f>H8+H9</f>
        <v>9708</v>
      </c>
      <c r="I7" s="60" t="s">
        <v>153</v>
      </c>
    </row>
    <row r="8" spans="1:9" ht="15" customHeight="1">
      <c r="A8" s="68" t="s">
        <v>14</v>
      </c>
      <c r="B8" s="21">
        <v>2769</v>
      </c>
      <c r="C8" s="21">
        <v>20698</v>
      </c>
      <c r="D8" s="21">
        <v>5380</v>
      </c>
      <c r="E8" s="21">
        <v>4300</v>
      </c>
      <c r="F8" s="21">
        <v>4514</v>
      </c>
      <c r="G8">
        <f>8329+1679</f>
        <v>10008</v>
      </c>
      <c r="H8">
        <f>14009+2322</f>
        <v>16331</v>
      </c>
      <c r="I8" s="60" t="s">
        <v>153</v>
      </c>
    </row>
    <row r="9" spans="1:9" ht="15" customHeight="1">
      <c r="A9" s="68" t="s">
        <v>15</v>
      </c>
      <c r="B9" s="21">
        <v>-285</v>
      </c>
      <c r="C9" s="21">
        <v>-4750</v>
      </c>
      <c r="D9" s="21">
        <v>-6657</v>
      </c>
      <c r="E9" s="21">
        <v>52</v>
      </c>
      <c r="F9" s="21">
        <v>-179</v>
      </c>
      <c r="G9">
        <f>-4815-1062</f>
        <v>-5877</v>
      </c>
      <c r="H9">
        <f>-6146-477</f>
        <v>-6623</v>
      </c>
      <c r="I9" s="60" t="s">
        <v>153</v>
      </c>
    </row>
    <row r="10" spans="1:9" ht="15" customHeight="1">
      <c r="A10" s="68" t="s">
        <v>12</v>
      </c>
      <c r="B10" s="21">
        <v>1928</v>
      </c>
      <c r="C10" s="21">
        <v>3955</v>
      </c>
      <c r="D10" s="21">
        <v>5725</v>
      </c>
      <c r="E10" s="21">
        <v>4403</v>
      </c>
      <c r="F10" s="21">
        <v>5496</v>
      </c>
      <c r="G10">
        <f>G11+G12</f>
        <v>6847</v>
      </c>
      <c r="H10">
        <f>H11+H12</f>
        <v>7242</v>
      </c>
      <c r="I10" s="60" t="s">
        <v>153</v>
      </c>
    </row>
    <row r="11" spans="1:9" ht="15" customHeight="1">
      <c r="A11" s="68" t="s">
        <v>14</v>
      </c>
      <c r="B11" s="21">
        <v>2472</v>
      </c>
      <c r="C11" s="21">
        <v>4348</v>
      </c>
      <c r="D11" s="21">
        <v>5531</v>
      </c>
      <c r="E11" s="21">
        <v>4444</v>
      </c>
      <c r="F11" s="21">
        <v>5467</v>
      </c>
      <c r="G11" s="21">
        <v>6672</v>
      </c>
      <c r="H11" s="21">
        <v>6678</v>
      </c>
      <c r="I11" s="60" t="s">
        <v>153</v>
      </c>
    </row>
    <row r="12" spans="1:9" ht="15" customHeight="1">
      <c r="A12" s="68" t="s">
        <v>15</v>
      </c>
      <c r="B12" s="21">
        <v>-544</v>
      </c>
      <c r="C12" s="21">
        <v>-393</v>
      </c>
      <c r="D12" s="21">
        <v>194</v>
      </c>
      <c r="E12" s="21">
        <v>-41</v>
      </c>
      <c r="F12" s="21">
        <v>29</v>
      </c>
      <c r="G12" s="21">
        <v>175</v>
      </c>
      <c r="H12" s="21">
        <v>564</v>
      </c>
      <c r="I12" s="60" t="s">
        <v>153</v>
      </c>
    </row>
    <row r="13" spans="1:9" ht="15" customHeight="1">
      <c r="A13" s="68" t="s">
        <v>117</v>
      </c>
      <c r="B13" s="21"/>
      <c r="C13" s="21">
        <v>5500</v>
      </c>
      <c r="D13" s="21">
        <v>8400</v>
      </c>
      <c r="E13" s="21">
        <v>12500</v>
      </c>
      <c r="F13" s="21">
        <v>13400</v>
      </c>
      <c r="G13" s="21">
        <v>16000</v>
      </c>
      <c r="H13" s="21">
        <v>23100</v>
      </c>
      <c r="I13" s="60" t="s">
        <v>331</v>
      </c>
    </row>
    <row r="14" spans="1:9" ht="15" customHeight="1">
      <c r="A14" s="68" t="s">
        <v>32</v>
      </c>
      <c r="B14" s="5">
        <v>124000</v>
      </c>
      <c r="C14" s="5">
        <v>131000</v>
      </c>
      <c r="D14" s="5">
        <v>144000</v>
      </c>
      <c r="E14" s="5">
        <v>163000</v>
      </c>
      <c r="F14" s="5">
        <v>181000</v>
      </c>
      <c r="G14" s="21">
        <v>221000</v>
      </c>
      <c r="H14" s="5">
        <v>221000</v>
      </c>
      <c r="I14" s="74" t="s">
        <v>154</v>
      </c>
    </row>
    <row r="15" spans="1:9" ht="15" customHeight="1">
      <c r="A15" s="68"/>
      <c r="B15" s="5"/>
      <c r="C15" s="5"/>
      <c r="D15" s="5"/>
      <c r="E15" s="5"/>
      <c r="F15" s="5"/>
      <c r="H15">
        <f>H6/H3</f>
        <v>0.18978625253328257</v>
      </c>
    </row>
    <row r="16" spans="1:9" ht="15" customHeight="1">
      <c r="A16" s="68" t="s">
        <v>1367</v>
      </c>
      <c r="B16" s="5"/>
      <c r="C16" s="5"/>
      <c r="D16" s="5"/>
      <c r="E16" s="5"/>
      <c r="F16" s="5"/>
      <c r="G16" t="s">
        <v>1369</v>
      </c>
      <c r="H16" t="s">
        <v>1368</v>
      </c>
    </row>
    <row r="17" spans="1:17" ht="15" customHeight="1">
      <c r="A17" s="68" t="s">
        <v>9</v>
      </c>
      <c r="B17" s="9">
        <v>3.4200000000000001E-2</v>
      </c>
      <c r="C17" s="9">
        <v>3.4200000000000001E-2</v>
      </c>
      <c r="D17" s="9">
        <v>3.4200000000000001E-2</v>
      </c>
      <c r="E17" s="9">
        <v>3.4200000000000001E-2</v>
      </c>
      <c r="F17" s="9">
        <v>3.4200000000000001E-2</v>
      </c>
      <c r="G17" s="9">
        <v>3.4200000000000001E-2</v>
      </c>
      <c r="H17" s="9">
        <v>3.4200000000000001E-2</v>
      </c>
      <c r="I17" s="60" t="s">
        <v>121</v>
      </c>
    </row>
    <row r="18" spans="1:17" ht="15" customHeight="1">
      <c r="E18" s="3"/>
      <c r="F18" s="14"/>
    </row>
    <row r="19" spans="1:17" ht="15" customHeight="1">
      <c r="A19" s="59" t="s">
        <v>18</v>
      </c>
      <c r="B19" s="33" t="s">
        <v>67</v>
      </c>
      <c r="C19" s="33" t="s">
        <v>68</v>
      </c>
      <c r="D19" s="33" t="s">
        <v>69</v>
      </c>
      <c r="E19" s="33" t="s">
        <v>70</v>
      </c>
      <c r="F19" s="33" t="s">
        <v>71</v>
      </c>
      <c r="G19" s="2" t="s">
        <v>152</v>
      </c>
      <c r="H19" s="2" t="s">
        <v>330</v>
      </c>
      <c r="I19" s="60"/>
    </row>
    <row r="20" spans="1:17" ht="15" customHeight="1">
      <c r="A20" s="58" t="s">
        <v>5</v>
      </c>
      <c r="B20" s="14">
        <v>1242187417.6099999</v>
      </c>
      <c r="C20" s="14">
        <v>2260730753.9200001</v>
      </c>
      <c r="D20" s="14">
        <v>3466209641.54</v>
      </c>
      <c r="E20" s="15">
        <v>4581376599.7800007</v>
      </c>
      <c r="F20" s="25">
        <v>5111855250.3299999</v>
      </c>
      <c r="G20" s="4">
        <f>F27</f>
        <v>5740374923.7400007</v>
      </c>
      <c r="H20" s="164">
        <f>G20*H2/G2</f>
        <v>6135429222.5972776</v>
      </c>
      <c r="I20" t="s">
        <v>155</v>
      </c>
    </row>
    <row r="21" spans="1:17" ht="15" customHeight="1">
      <c r="A21" s="58" t="s">
        <v>19</v>
      </c>
      <c r="B21" s="14">
        <v>170765092.53</v>
      </c>
      <c r="C21" s="5">
        <v>194158261.65000001</v>
      </c>
      <c r="D21" s="5">
        <v>237397127.47</v>
      </c>
      <c r="E21" s="14">
        <v>271299231.89999998</v>
      </c>
      <c r="F21" s="16">
        <v>315575846.53000003</v>
      </c>
      <c r="G21" s="4">
        <f t="shared" ref="G21:G22" si="0">F28</f>
        <v>335625216.75999999</v>
      </c>
      <c r="H21" s="164">
        <f>G21*H3/G3</f>
        <v>358056091.23766494</v>
      </c>
    </row>
    <row r="22" spans="1:17" ht="15" customHeight="1">
      <c r="A22" s="68" t="s">
        <v>13</v>
      </c>
      <c r="B22" s="14">
        <v>59902851.880000003</v>
      </c>
      <c r="C22" s="14">
        <v>69192700.439999998</v>
      </c>
      <c r="D22" s="14">
        <v>65396033.049999997</v>
      </c>
      <c r="E22" s="16">
        <v>91100883.730000004</v>
      </c>
      <c r="F22" s="16">
        <v>121500383.36999999</v>
      </c>
      <c r="G22" s="4">
        <f t="shared" si="0"/>
        <v>99351974.679999992</v>
      </c>
      <c r="H22" s="164">
        <f>G23*H21</f>
        <v>105991975.37681541</v>
      </c>
    </row>
    <row r="23" spans="1:17" ht="15" customHeight="1">
      <c r="A23" s="58" t="s">
        <v>21</v>
      </c>
      <c r="B23" s="12">
        <f>B22/B21</f>
        <v>0.35079096665775689</v>
      </c>
      <c r="C23" s="12">
        <f>C22/C21</f>
        <v>0.35637268201715999</v>
      </c>
      <c r="D23" s="12">
        <f>D22/D21</f>
        <v>0.27547103769511333</v>
      </c>
      <c r="E23" s="35">
        <v>0.33579484575754159</v>
      </c>
      <c r="F23" s="35">
        <v>0.38501166900442624</v>
      </c>
      <c r="G23" s="57">
        <f>G22/G21</f>
        <v>0.2960205899875662</v>
      </c>
      <c r="H23" s="225">
        <f>H22/H21</f>
        <v>0.2960205899875662</v>
      </c>
    </row>
    <row r="24" spans="1:17">
      <c r="A24" s="67" t="s">
        <v>22</v>
      </c>
      <c r="E24">
        <v>2698</v>
      </c>
      <c r="F24">
        <v>2895</v>
      </c>
      <c r="G24" s="4">
        <f>F32</f>
        <v>3142</v>
      </c>
      <c r="H24" s="164">
        <f>G24*H14/G14</f>
        <v>3142</v>
      </c>
    </row>
    <row r="25" spans="1:17">
      <c r="B25" s="61">
        <f>B28/(G3*1000000)</f>
        <v>3.8695751122843902E-3</v>
      </c>
      <c r="H25" s="4"/>
    </row>
    <row r="26" spans="1:17">
      <c r="A26" s="2" t="s">
        <v>152</v>
      </c>
      <c r="B26" s="75" t="s">
        <v>156</v>
      </c>
      <c r="C26" s="75" t="s">
        <v>158</v>
      </c>
      <c r="D26" s="75" t="s">
        <v>160</v>
      </c>
      <c r="E26" s="75" t="s">
        <v>161</v>
      </c>
      <c r="F26" s="75" t="s">
        <v>93</v>
      </c>
    </row>
    <row r="27" spans="1:17" ht="15" customHeight="1">
      <c r="A27" s="58" t="s">
        <v>5</v>
      </c>
      <c r="B27" s="25">
        <v>5516182055.0500002</v>
      </c>
      <c r="C27" s="14">
        <v>190729038.61000001</v>
      </c>
      <c r="D27" s="4">
        <v>19727822.559999999</v>
      </c>
      <c r="E27" s="4">
        <v>13736007.52</v>
      </c>
      <c r="F27" s="4">
        <f>SUM(B27:E27)</f>
        <v>5740374923.7400007</v>
      </c>
    </row>
    <row r="28" spans="1:17" ht="15" customHeight="1">
      <c r="A28" s="58" t="s">
        <v>19</v>
      </c>
      <c r="B28" s="16">
        <f>219292016.57+B29</f>
        <v>323945350.10000002</v>
      </c>
      <c r="C28" s="14">
        <f>14608696.24+C29</f>
        <v>8462136.8399999999</v>
      </c>
      <c r="D28" s="14">
        <f>986074.78+D29</f>
        <v>1455229.55</v>
      </c>
      <c r="E28" s="14">
        <f>1386454.49+E29</f>
        <v>1762500.27</v>
      </c>
      <c r="F28" s="4">
        <f t="shared" ref="F28:F29" si="1">SUM(B28:E28)</f>
        <v>335625216.75999999</v>
      </c>
      <c r="Q28" s="4"/>
    </row>
    <row r="29" spans="1:17" ht="15" customHeight="1">
      <c r="A29" s="68" t="s">
        <v>13</v>
      </c>
      <c r="B29" s="16">
        <v>104653333.53</v>
      </c>
      <c r="C29" s="163">
        <v>-6146559.4000000004</v>
      </c>
      <c r="D29" s="14">
        <v>469154.77</v>
      </c>
      <c r="E29" s="14">
        <v>376045.78</v>
      </c>
      <c r="F29" s="4">
        <f t="shared" si="1"/>
        <v>99351974.679999992</v>
      </c>
      <c r="Q29" s="4"/>
    </row>
    <row r="30" spans="1:17" ht="15" customHeight="1">
      <c r="A30" s="58" t="s">
        <v>21</v>
      </c>
      <c r="B30" s="35">
        <f t="shared" ref="B30:F30" si="2">B29/B28</f>
        <v>0.32305860694618438</v>
      </c>
      <c r="C30" s="35">
        <f t="shared" si="2"/>
        <v>-0.72636019911018135</v>
      </c>
      <c r="D30" s="35">
        <f t="shared" si="2"/>
        <v>0.32239227824916006</v>
      </c>
      <c r="E30" s="35">
        <f t="shared" si="2"/>
        <v>0.21335927511659333</v>
      </c>
      <c r="F30" s="35">
        <f t="shared" si="2"/>
        <v>0.2960205899875662</v>
      </c>
    </row>
    <row r="31" spans="1:17" ht="15" customHeight="1">
      <c r="A31" s="58" t="s">
        <v>353</v>
      </c>
      <c r="B31" s="35"/>
      <c r="C31" s="35"/>
      <c r="D31" s="35"/>
      <c r="E31" s="35"/>
      <c r="F31" s="35"/>
    </row>
    <row r="32" spans="1:17" ht="15" customHeight="1">
      <c r="A32" s="67" t="s">
        <v>22</v>
      </c>
      <c r="B32">
        <v>2962</v>
      </c>
      <c r="C32">
        <v>36</v>
      </c>
      <c r="D32">
        <v>91</v>
      </c>
      <c r="E32">
        <v>53</v>
      </c>
      <c r="F32" s="4">
        <f t="shared" ref="F32" si="3">SUM(B32:E32)</f>
        <v>3142</v>
      </c>
    </row>
    <row r="33" spans="1:6" ht="15" customHeight="1">
      <c r="A33" s="67" t="s">
        <v>354</v>
      </c>
      <c r="D33">
        <f>185/753</f>
        <v>0.24568393094289509</v>
      </c>
      <c r="F33" s="4"/>
    </row>
    <row r="34" spans="1:6" ht="15" customHeight="1">
      <c r="F34" s="4"/>
    </row>
    <row r="36" spans="1:6">
      <c r="A36" s="70" t="s">
        <v>159</v>
      </c>
      <c r="B36" s="75" t="s">
        <v>156</v>
      </c>
      <c r="C36" s="75" t="s">
        <v>158</v>
      </c>
      <c r="D36" s="75" t="s">
        <v>160</v>
      </c>
      <c r="E36" s="75" t="s">
        <v>161</v>
      </c>
      <c r="F36" s="75" t="s">
        <v>93</v>
      </c>
    </row>
    <row r="37" spans="1:6" ht="15" customHeight="1">
      <c r="A37" s="58" t="s">
        <v>5</v>
      </c>
      <c r="B37" s="25">
        <v>4926219417.6999998</v>
      </c>
      <c r="C37" s="14">
        <v>153038417.61000001</v>
      </c>
      <c r="D37" s="4">
        <v>18892752.489999998</v>
      </c>
      <c r="E37" s="4">
        <v>13755538.6</v>
      </c>
      <c r="F37" s="4">
        <f>SUM(B37:E37)</f>
        <v>5111906126.3999996</v>
      </c>
    </row>
    <row r="38" spans="1:6" ht="15" customHeight="1">
      <c r="A38" s="58" t="s">
        <v>19</v>
      </c>
      <c r="B38" s="16">
        <f>206822211.19+B39</f>
        <v>306068582.60000002</v>
      </c>
      <c r="C38" s="14">
        <f>-14768391.34+C39</f>
        <v>6330791.5399999991</v>
      </c>
      <c r="D38" s="14">
        <f>919228.91+D39</f>
        <v>1395704.5</v>
      </c>
      <c r="E38" s="14">
        <f>1102414.4+E39</f>
        <v>1780767.89</v>
      </c>
      <c r="F38" s="4">
        <f t="shared" ref="F38:F48" si="4">SUM(B38:E38)</f>
        <v>315575846.53000003</v>
      </c>
    </row>
    <row r="39" spans="1:6" ht="15" customHeight="1">
      <c r="A39" s="68" t="s">
        <v>13</v>
      </c>
      <c r="B39" s="16">
        <v>99246371.409999996</v>
      </c>
      <c r="C39" s="163">
        <v>21099182.879999999</v>
      </c>
      <c r="D39" s="14">
        <v>476475.59</v>
      </c>
      <c r="E39" s="14">
        <v>678353.49</v>
      </c>
      <c r="F39" s="4">
        <f t="shared" si="4"/>
        <v>121500383.36999999</v>
      </c>
    </row>
    <row r="40" spans="1:6" ht="15" customHeight="1">
      <c r="A40" s="58" t="s">
        <v>21</v>
      </c>
      <c r="B40" s="35">
        <f>B39/B38</f>
        <v>0.3242618715286591</v>
      </c>
      <c r="C40" s="35">
        <f>C39/C38</f>
        <v>3.3327874953216359</v>
      </c>
      <c r="D40" s="35">
        <f>D39/D38</f>
        <v>0.34138715609213843</v>
      </c>
      <c r="E40" s="35">
        <f>E39/E38</f>
        <v>0.38093313216693281</v>
      </c>
      <c r="F40" s="35">
        <f>F39/F38</f>
        <v>0.38501166900442624</v>
      </c>
    </row>
    <row r="41" spans="1:6" ht="15" customHeight="1">
      <c r="A41" s="67" t="s">
        <v>22</v>
      </c>
      <c r="B41">
        <v>2720</v>
      </c>
      <c r="C41">
        <v>28</v>
      </c>
      <c r="D41">
        <v>93</v>
      </c>
      <c r="E41">
        <v>54</v>
      </c>
      <c r="F41" s="4">
        <f t="shared" si="4"/>
        <v>2895</v>
      </c>
    </row>
    <row r="42" spans="1:6" ht="15" customHeight="1">
      <c r="E42" s="3"/>
      <c r="F42" s="4"/>
    </row>
    <row r="43" spans="1:6" ht="15" customHeight="1">
      <c r="A43" s="70" t="s">
        <v>157</v>
      </c>
      <c r="B43" s="75" t="s">
        <v>156</v>
      </c>
      <c r="C43" s="75" t="s">
        <v>158</v>
      </c>
      <c r="D43" s="60" t="s">
        <v>160</v>
      </c>
      <c r="E43" s="60" t="s">
        <v>161</v>
      </c>
      <c r="F43" s="4"/>
    </row>
    <row r="44" spans="1:6" ht="15" customHeight="1">
      <c r="A44" s="58" t="s">
        <v>5</v>
      </c>
      <c r="B44" s="15">
        <v>4419375355.6000004</v>
      </c>
      <c r="C44" s="4">
        <v>133056244.18000001</v>
      </c>
      <c r="D44" s="14">
        <v>15778000</v>
      </c>
      <c r="E44" s="4">
        <v>13167000</v>
      </c>
      <c r="F44" s="4">
        <f t="shared" si="4"/>
        <v>4581376599.7800007</v>
      </c>
    </row>
    <row r="45" spans="1:6" ht="15" customHeight="1">
      <c r="A45" s="58" t="s">
        <v>19</v>
      </c>
      <c r="B45" s="14">
        <f>174087754.8+B46</f>
        <v>262089215.24000001</v>
      </c>
      <c r="C45" s="14">
        <f>4392593.37+C46</f>
        <v>6336016.6600000001</v>
      </c>
      <c r="D45" s="14">
        <f>722000+D46</f>
        <v>1174000</v>
      </c>
      <c r="E45" s="5">
        <f>996000+E46</f>
        <v>1700000</v>
      </c>
      <c r="F45" s="4">
        <f t="shared" si="4"/>
        <v>271299231.89999998</v>
      </c>
    </row>
    <row r="46" spans="1:6" ht="15" customHeight="1">
      <c r="A46" s="68" t="s">
        <v>13</v>
      </c>
      <c r="B46" s="16">
        <v>88001460.439999998</v>
      </c>
      <c r="C46" s="14">
        <v>1943423.29</v>
      </c>
      <c r="D46" s="14">
        <v>452000</v>
      </c>
      <c r="E46">
        <v>704000</v>
      </c>
      <c r="F46" s="4">
        <f t="shared" si="4"/>
        <v>91100883.730000004</v>
      </c>
    </row>
    <row r="47" spans="1:6" ht="15" customHeight="1">
      <c r="A47" s="58" t="s">
        <v>21</v>
      </c>
      <c r="B47" s="35">
        <f>B46/B45</f>
        <v>0.33576910198084803</v>
      </c>
      <c r="C47" s="35">
        <f>C46/C45</f>
        <v>0.30672635415702965</v>
      </c>
      <c r="D47" s="35">
        <f>D46/D45</f>
        <v>0.38500851788756391</v>
      </c>
      <c r="E47" s="35">
        <f>E46/E45</f>
        <v>0.41411764705882353</v>
      </c>
      <c r="F47" s="35">
        <f>F46/F45</f>
        <v>0.33579484575754159</v>
      </c>
    </row>
    <row r="48" spans="1:6" ht="15" customHeight="1">
      <c r="A48" s="67" t="s">
        <v>22</v>
      </c>
      <c r="B48">
        <v>2548</v>
      </c>
      <c r="C48">
        <v>20</v>
      </c>
      <c r="D48">
        <v>78</v>
      </c>
      <c r="E48">
        <v>52</v>
      </c>
      <c r="F48" s="4">
        <f t="shared" si="4"/>
        <v>2698</v>
      </c>
    </row>
    <row r="49" spans="1:6" ht="15" customHeight="1"/>
    <row r="50" spans="1:6" ht="15" customHeight="1"/>
    <row r="51" spans="1:6" ht="15" customHeight="1"/>
    <row r="52" spans="1:6" ht="15" customHeight="1">
      <c r="A52" s="70" t="s">
        <v>71</v>
      </c>
      <c r="B52" s="60" t="s">
        <v>1048</v>
      </c>
      <c r="C52" s="60" t="s">
        <v>1051</v>
      </c>
      <c r="D52" s="60"/>
      <c r="E52" s="60" t="s">
        <v>1052</v>
      </c>
      <c r="F52" s="60" t="s">
        <v>1054</v>
      </c>
    </row>
    <row r="53" spans="1:6" ht="15" customHeight="1">
      <c r="A53" s="70" t="s">
        <v>354</v>
      </c>
      <c r="B53" s="60" t="s">
        <v>1049</v>
      </c>
      <c r="C53" s="60" t="s">
        <v>1050</v>
      </c>
      <c r="D53" s="60"/>
      <c r="F53" s="60" t="s">
        <v>1053</v>
      </c>
    </row>
    <row r="54" spans="1:6">
      <c r="A54" s="70" t="s">
        <v>5</v>
      </c>
      <c r="B54" s="4">
        <v>41155320</v>
      </c>
      <c r="C54" s="4">
        <v>56157774</v>
      </c>
      <c r="D54" s="4">
        <f>SUM(B54:C54)</f>
        <v>97313094</v>
      </c>
      <c r="E54" s="4">
        <v>2758359</v>
      </c>
      <c r="F54" s="4">
        <v>30081117</v>
      </c>
    </row>
    <row r="55" spans="1:6" ht="15" customHeight="1">
      <c r="A55" s="70" t="s">
        <v>75</v>
      </c>
      <c r="B55" s="4">
        <v>18975390</v>
      </c>
      <c r="C55" s="4">
        <v>3099819</v>
      </c>
      <c r="D55" s="4">
        <f t="shared" ref="D55:D58" si="5">SUM(B55:C55)</f>
        <v>22075209</v>
      </c>
      <c r="E55" s="4">
        <v>2611270</v>
      </c>
      <c r="F55" s="4">
        <v>30053628</v>
      </c>
    </row>
    <row r="56" spans="1:6" ht="15" customHeight="1">
      <c r="A56" s="70" t="s">
        <v>13</v>
      </c>
      <c r="B56" s="4">
        <v>2362294</v>
      </c>
      <c r="C56" s="4">
        <v>401364</v>
      </c>
      <c r="D56" s="4">
        <f t="shared" si="5"/>
        <v>2763658</v>
      </c>
      <c r="E56" s="4">
        <v>203678</v>
      </c>
      <c r="F56" s="4">
        <v>0</v>
      </c>
    </row>
    <row r="57" spans="1:6" ht="23.7" customHeight="1">
      <c r="A57" s="70" t="s">
        <v>16</v>
      </c>
      <c r="B57">
        <f>B56/B55</f>
        <v>0.1244925137243556</v>
      </c>
      <c r="D57">
        <f>D56/D55</f>
        <v>0.1251928350938829</v>
      </c>
    </row>
    <row r="58" spans="1:6" ht="15" customHeight="1">
      <c r="A58" s="70" t="s">
        <v>22</v>
      </c>
      <c r="B58">
        <v>617</v>
      </c>
      <c r="C58">
        <v>2014</v>
      </c>
      <c r="D58" s="4">
        <f t="shared" si="5"/>
        <v>2631</v>
      </c>
      <c r="E58">
        <v>1</v>
      </c>
    </row>
    <row r="59" spans="1:6" ht="15" customHeight="1">
      <c r="D59">
        <f>C54/D54</f>
        <v>0.5770834292865048</v>
      </c>
      <c r="E59">
        <f>(D55*1000)/D58</f>
        <v>8390425.3135689851</v>
      </c>
    </row>
    <row r="60" spans="1:6" ht="15" customHeight="1">
      <c r="A60" s="70" t="s">
        <v>152</v>
      </c>
      <c r="B60" s="60" t="s">
        <v>1048</v>
      </c>
      <c r="C60" s="60" t="s">
        <v>1051</v>
      </c>
      <c r="D60" s="60" t="s">
        <v>1052</v>
      </c>
      <c r="E60" s="60" t="s">
        <v>1054</v>
      </c>
    </row>
    <row r="61" spans="1:6" ht="15" customHeight="1">
      <c r="A61" s="70" t="s">
        <v>354</v>
      </c>
      <c r="B61" s="60" t="s">
        <v>1049</v>
      </c>
      <c r="C61" s="60" t="s">
        <v>1050</v>
      </c>
      <c r="E61" s="60" t="s">
        <v>1053</v>
      </c>
    </row>
    <row r="62" spans="1:6" ht="15" customHeight="1">
      <c r="A62" s="70" t="s">
        <v>5</v>
      </c>
      <c r="B62" s="4">
        <v>48151397</v>
      </c>
      <c r="C62" s="4">
        <v>65407489</v>
      </c>
      <c r="D62" s="4">
        <v>2258576</v>
      </c>
      <c r="E62" s="4">
        <v>78046134</v>
      </c>
    </row>
    <row r="63" spans="1:6" ht="15" customHeight="1">
      <c r="A63" s="70" t="s">
        <v>75</v>
      </c>
      <c r="B63" s="4">
        <v>38285964</v>
      </c>
      <c r="C63" s="4">
        <v>3559441</v>
      </c>
      <c r="D63" s="4">
        <v>2048408</v>
      </c>
      <c r="E63" s="4">
        <v>77981924</v>
      </c>
      <c r="F63" s="4">
        <f>SUM(B63:D63)</f>
        <v>43893813</v>
      </c>
    </row>
    <row r="64" spans="1:6" ht="15" customHeight="1">
      <c r="A64" s="70" t="s">
        <v>13</v>
      </c>
      <c r="B64" s="4">
        <v>2562532</v>
      </c>
      <c r="C64" s="4">
        <v>475652</v>
      </c>
      <c r="D64" s="4">
        <v>157007</v>
      </c>
      <c r="E64" s="4">
        <v>1002</v>
      </c>
      <c r="F64" s="4">
        <f>SUM(B64:D64)</f>
        <v>3195191</v>
      </c>
    </row>
    <row r="65" spans="1:6" ht="15" customHeight="1">
      <c r="A65" s="70" t="s">
        <v>16</v>
      </c>
      <c r="B65" s="57">
        <f>B64/B63</f>
        <v>6.6931369417784548E-2</v>
      </c>
      <c r="C65" s="57">
        <f t="shared" ref="C65:E65" si="6">C64/C63</f>
        <v>0.13363109544448132</v>
      </c>
      <c r="D65" s="57">
        <f t="shared" si="6"/>
        <v>7.6648304439349974E-2</v>
      </c>
      <c r="E65" s="57">
        <f t="shared" si="6"/>
        <v>1.2849131550024336E-5</v>
      </c>
      <c r="F65" s="61">
        <f>F64/F63</f>
        <v>7.2793653173853903E-2</v>
      </c>
    </row>
    <row r="66" spans="1:6" ht="15" customHeight="1">
      <c r="A66" s="70" t="s">
        <v>22</v>
      </c>
      <c r="B66" s="4">
        <v>831</v>
      </c>
      <c r="C66" s="4">
        <v>2386</v>
      </c>
      <c r="D66" s="4">
        <v>2</v>
      </c>
    </row>
    <row r="69" spans="1:6">
      <c r="A69" s="70" t="s">
        <v>1168</v>
      </c>
      <c r="B69" s="75" t="s">
        <v>156</v>
      </c>
      <c r="C69" s="75" t="s">
        <v>158</v>
      </c>
      <c r="D69" s="60" t="s">
        <v>160</v>
      </c>
      <c r="E69" s="60" t="s">
        <v>161</v>
      </c>
      <c r="F69" s="4"/>
    </row>
    <row r="70" spans="1:6">
      <c r="A70" s="58" t="s">
        <v>5</v>
      </c>
      <c r="B70" s="15">
        <v>767517262.5</v>
      </c>
      <c r="C70" s="4"/>
      <c r="D70" s="14"/>
      <c r="E70" s="4"/>
      <c r="F70" s="4">
        <f t="shared" ref="F70:F72" si="7">SUM(B70:E70)</f>
        <v>767517262.5</v>
      </c>
    </row>
    <row r="71" spans="1:6">
      <c r="A71" s="58" t="s">
        <v>19</v>
      </c>
      <c r="B71" s="14">
        <v>151447991.80000001</v>
      </c>
      <c r="C71" s="14"/>
      <c r="D71" s="14"/>
      <c r="E71" s="5"/>
      <c r="F71" s="4">
        <f t="shared" si="7"/>
        <v>151447991.80000001</v>
      </c>
    </row>
    <row r="72" spans="1:6">
      <c r="A72" s="68" t="s">
        <v>13</v>
      </c>
      <c r="B72" s="16">
        <v>48551988.399999999</v>
      </c>
      <c r="C72" s="14"/>
      <c r="D72" s="14"/>
      <c r="F72" s="4">
        <f t="shared" si="7"/>
        <v>48551988.399999999</v>
      </c>
    </row>
    <row r="73" spans="1:6">
      <c r="A73" s="58" t="s">
        <v>21</v>
      </c>
      <c r="B73" s="35"/>
      <c r="C73" s="35"/>
      <c r="D73" s="35"/>
      <c r="E73" s="35"/>
      <c r="F73" s="35">
        <f>F72/F71</f>
        <v>0.32058522416142066</v>
      </c>
    </row>
    <row r="74" spans="1:6">
      <c r="A74" s="67" t="s">
        <v>22</v>
      </c>
      <c r="B74">
        <v>2408</v>
      </c>
      <c r="F74" s="4">
        <f t="shared" ref="F74" si="8">SUM(B74:E74)</f>
        <v>2408</v>
      </c>
    </row>
    <row r="75" spans="1:6">
      <c r="B75">
        <f>B71/B70</f>
        <v>0.1973219355440882</v>
      </c>
    </row>
    <row r="76" spans="1:6">
      <c r="B76" s="61">
        <f>B71/(B3*1000000)</f>
        <v>5.0649808300725734E-3</v>
      </c>
    </row>
    <row r="77" spans="1:6">
      <c r="B77" s="61">
        <f>B74/B14</f>
        <v>1.9419354838709678E-2</v>
      </c>
    </row>
    <row r="79" spans="1:6">
      <c r="A79" s="70" t="s">
        <v>1169</v>
      </c>
      <c r="B79" s="75" t="s">
        <v>156</v>
      </c>
      <c r="C79" s="75" t="s">
        <v>158</v>
      </c>
      <c r="D79" s="60" t="s">
        <v>160</v>
      </c>
      <c r="E79" s="60" t="s">
        <v>161</v>
      </c>
      <c r="F79" s="4"/>
    </row>
    <row r="80" spans="1:6">
      <c r="A80" s="58" t="s">
        <v>5</v>
      </c>
      <c r="B80" s="15">
        <v>2138731569.3699999</v>
      </c>
      <c r="C80" s="4"/>
      <c r="D80" s="14"/>
      <c r="E80" s="4"/>
      <c r="F80" s="4">
        <f t="shared" ref="F80:F82" si="9">SUM(B80:E80)</f>
        <v>2138731569.3699999</v>
      </c>
    </row>
    <row r="81" spans="1:6">
      <c r="A81" s="58" t="s">
        <v>19</v>
      </c>
      <c r="B81" s="14">
        <f>118735529.86+B82</f>
        <v>184083103.86000001</v>
      </c>
      <c r="C81" s="14"/>
      <c r="D81" s="14"/>
      <c r="E81" s="5"/>
      <c r="F81" s="4">
        <f t="shared" si="9"/>
        <v>184083103.86000001</v>
      </c>
    </row>
    <row r="82" spans="1:6">
      <c r="A82" s="68" t="s">
        <v>13</v>
      </c>
      <c r="B82" s="16">
        <v>65347574</v>
      </c>
      <c r="C82" s="14"/>
      <c r="D82" s="14"/>
      <c r="F82" s="4">
        <f t="shared" si="9"/>
        <v>65347574</v>
      </c>
    </row>
    <row r="83" spans="1:6">
      <c r="A83" s="58" t="s">
        <v>21</v>
      </c>
      <c r="B83" s="35"/>
      <c r="C83" s="35"/>
      <c r="D83" s="35"/>
      <c r="E83" s="35"/>
      <c r="F83" s="35">
        <f>F82/F81</f>
        <v>0.35498952717408833</v>
      </c>
    </row>
    <row r="84" spans="1:6">
      <c r="A84" s="67" t="s">
        <v>22</v>
      </c>
      <c r="B84">
        <v>2468</v>
      </c>
      <c r="F84" s="4">
        <f t="shared" ref="F84" si="10">SUM(B84:E84)</f>
        <v>2468</v>
      </c>
    </row>
    <row r="85" spans="1:6">
      <c r="B85">
        <f>B81/B80</f>
        <v>8.6071158483074547E-2</v>
      </c>
    </row>
    <row r="86" spans="1:6">
      <c r="B86" s="61">
        <f>B81/(C3*1000000)</f>
        <v>5.0469678088501399E-3</v>
      </c>
    </row>
    <row r="87" spans="1:6">
      <c r="B87" s="61">
        <f>B84/C14</f>
        <v>1.8839694656488548E-2</v>
      </c>
    </row>
    <row r="94" spans="1:6">
      <c r="A94" s="67">
        <f>200/20000</f>
        <v>0.01</v>
      </c>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Roman,Standard"&amp;12&amp;A</oddHeader>
    <oddFooter>&amp;C&amp;"Times New Roman,Standard"&amp;12Seite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Finanzjahr</vt:lpstr>
      <vt:lpstr>2022all</vt:lpstr>
      <vt:lpstr>2021all</vt:lpstr>
      <vt:lpstr>2020all</vt:lpstr>
      <vt:lpstr>2016all</vt:lpstr>
      <vt:lpstr>Apple</vt:lpstr>
      <vt:lpstr>Meta</vt:lpstr>
      <vt:lpstr>Alphabet</vt:lpstr>
      <vt:lpstr>Microsoft</vt:lpstr>
      <vt:lpstr>Amazon</vt:lpstr>
      <vt:lpstr>Amazons Subs 2020</vt:lpstr>
      <vt:lpstr>Netflix</vt:lpstr>
      <vt:lpstr>Booking</vt:lpstr>
      <vt:lpstr>GDP_EU</vt:lpstr>
      <vt:lpstr>GDP_World</vt:lpstr>
      <vt:lpstr>USD_EUR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 Trautvetter</dc:creator>
  <dc:description/>
  <cp:lastModifiedBy>Christoph</cp:lastModifiedBy>
  <cp:revision>465</cp:revision>
  <dcterms:created xsi:type="dcterms:W3CDTF">2021-08-03T21:30:55Z</dcterms:created>
  <dcterms:modified xsi:type="dcterms:W3CDTF">2024-03-05T22:52:23Z</dcterms:modified>
  <dc:language>de-DE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